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theme/themeOverride1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theme/themeOverride2.xml" ContentType="application/vnd.openxmlformats-officedocument.themeOverride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drawings/drawing15.xml" ContentType="application/vnd.openxmlformats-officedocument.drawing+xml"/>
  <Override PartName="/xl/charts/chart18.xml" ContentType="application/vnd.openxmlformats-officedocument.drawingml.chart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drawings/drawing17.xml" ContentType="application/vnd.openxmlformats-officedocument.drawing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8_{398799A7-FA44-40C8-8398-FB66CB873C27}" xr6:coauthVersionLast="47" xr6:coauthVersionMax="47" xr10:uidLastSave="{00000000-0000-0000-0000-000000000000}"/>
  <bookViews>
    <workbookView xWindow="20370" yWindow="-120" windowWidth="19440" windowHeight="15000" tabRatio="927" activeTab="4" xr2:uid="{00000000-000D-0000-FFFF-FFFF00000000}"/>
  </bookViews>
  <sheets>
    <sheet name="C-152" sheetId="11" r:id="rId1"/>
    <sheet name="C-172" sheetId="7" r:id="rId2"/>
    <sheet name="C-182" sheetId="8" r:id="rId3"/>
    <sheet name="8KCAB" sheetId="16" r:id="rId4"/>
    <sheet name="PA28-151 &amp; Older PA-28-161" sheetId="13" r:id="rId5"/>
    <sheet name="Newer PA28-161" sheetId="12" r:id="rId6"/>
    <sheet name="PA28-181" sheetId="14" r:id="rId7"/>
    <sheet name="Arrow III" sheetId="20" r:id="rId8"/>
    <sheet name="Arrow IV" sheetId="2" r:id="rId9"/>
    <sheet name="Seneca" sheetId="15" r:id="rId10"/>
    <sheet name="SR22 G1&amp;2" sheetId="19" r:id="rId11"/>
    <sheet name="SR22 G3" sheetId="18" r:id="rId12"/>
    <sheet name="C207T" sheetId="4" r:id="rId13"/>
    <sheet name="Aztec" sheetId="5" r:id="rId14"/>
    <sheet name="Baron" sheetId="6" r:id="rId15"/>
    <sheet name="Cougar" sheetId="3" r:id="rId16"/>
  </sheets>
  <definedNames>
    <definedName name="_xlnm.Print_Area" localSheetId="15">Cougar!$A$1:$P$39</definedName>
    <definedName name="_xlnm.Print_Area" localSheetId="11">'SR22 G3'!$A$1:$P$40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3" l="1"/>
  <c r="C19" i="13"/>
  <c r="J11" i="13"/>
  <c r="J10" i="13"/>
  <c r="J9" i="13"/>
  <c r="J7" i="12"/>
  <c r="J6" i="12"/>
  <c r="J5" i="12"/>
  <c r="J8" i="20"/>
  <c r="J5" i="13"/>
  <c r="C19" i="11"/>
  <c r="C37" i="4"/>
  <c r="E37" i="4"/>
  <c r="C38" i="4"/>
  <c r="E38" i="4"/>
  <c r="E16" i="4"/>
  <c r="C22" i="4"/>
  <c r="E22" i="4" s="1"/>
  <c r="C20" i="4"/>
  <c r="E20" i="4" s="1"/>
  <c r="C19" i="4"/>
  <c r="E19" i="4" s="1"/>
  <c r="C18" i="4"/>
  <c r="E18" i="4" s="1"/>
  <c r="C17" i="4"/>
  <c r="E17" i="4" s="1"/>
  <c r="B17" i="13"/>
  <c r="J6" i="13"/>
  <c r="E19" i="14"/>
  <c r="C22" i="19"/>
  <c r="C22" i="18"/>
  <c r="C20" i="11"/>
  <c r="L5" i="11"/>
  <c r="C18" i="11"/>
  <c r="D19" i="16"/>
  <c r="N38" i="20" l="1"/>
  <c r="K38" i="20"/>
  <c r="I38" i="20"/>
  <c r="K37" i="20"/>
  <c r="I37" i="20"/>
  <c r="O18" i="20"/>
  <c r="E18" i="20"/>
  <c r="C18" i="20"/>
  <c r="O29" i="20" s="1"/>
  <c r="B16" i="20"/>
  <c r="C25" i="20" s="1"/>
  <c r="E8" i="20"/>
  <c r="I5" i="20"/>
  <c r="D37" i="16"/>
  <c r="C21" i="16"/>
  <c r="C20" i="16"/>
  <c r="C20" i="20" l="1"/>
  <c r="E20" i="20" s="1"/>
  <c r="C21" i="20"/>
  <c r="E21" i="20" s="1"/>
  <c r="O15" i="20"/>
  <c r="C31" i="20" s="1"/>
  <c r="D23" i="20"/>
  <c r="D29" i="20"/>
  <c r="O20" i="20"/>
  <c r="O16" i="20"/>
  <c r="D18" i="20"/>
  <c r="N29" i="20" s="1"/>
  <c r="C19" i="20"/>
  <c r="E19" i="20" s="1"/>
  <c r="E22" i="20" s="1"/>
  <c r="C23" i="20"/>
  <c r="D25" i="20"/>
  <c r="E25" i="20" s="1"/>
  <c r="C29" i="20"/>
  <c r="E23" i="20" l="1"/>
  <c r="E29" i="20"/>
  <c r="C32" i="20"/>
  <c r="C33" i="20" s="1"/>
  <c r="D33" i="20" s="1"/>
  <c r="C22" i="20"/>
  <c r="E26" i="20"/>
  <c r="J11" i="19"/>
  <c r="J5" i="19"/>
  <c r="E22" i="19"/>
  <c r="E22" i="18"/>
  <c r="O27" i="20" l="1"/>
  <c r="C26" i="20"/>
  <c r="C36" i="20" s="1"/>
  <c r="E30" i="20"/>
  <c r="D22" i="20"/>
  <c r="N27" i="20" s="1"/>
  <c r="C20" i="19"/>
  <c r="E20" i="19" s="1"/>
  <c r="C19" i="19"/>
  <c r="E19" i="19" s="1"/>
  <c r="C20" i="18"/>
  <c r="E20" i="18" s="1"/>
  <c r="C19" i="18"/>
  <c r="E19" i="18" s="1"/>
  <c r="N39" i="19"/>
  <c r="K40" i="19"/>
  <c r="I40" i="19"/>
  <c r="K39" i="19"/>
  <c r="I39" i="19"/>
  <c r="E21" i="19"/>
  <c r="B16" i="19"/>
  <c r="E18" i="19" s="1"/>
  <c r="E11" i="19"/>
  <c r="E8" i="19"/>
  <c r="N39" i="18"/>
  <c r="K39" i="18"/>
  <c r="I39" i="18"/>
  <c r="K38" i="18"/>
  <c r="I38" i="18"/>
  <c r="E21" i="18"/>
  <c r="B16" i="18"/>
  <c r="E18" i="18" s="1"/>
  <c r="E11" i="18"/>
  <c r="J10" i="18"/>
  <c r="J9" i="18"/>
  <c r="J8" i="18"/>
  <c r="E8" i="18"/>
  <c r="J7" i="18"/>
  <c r="C18" i="19" l="1"/>
  <c r="O25" i="20"/>
  <c r="O31" i="20" s="1"/>
  <c r="D26" i="20"/>
  <c r="N25" i="20" s="1"/>
  <c r="N31" i="20" s="1"/>
  <c r="C30" i="20"/>
  <c r="C37" i="20" s="1"/>
  <c r="D27" i="20"/>
  <c r="C30" i="19"/>
  <c r="E30" i="19" s="1"/>
  <c r="E24" i="19"/>
  <c r="C27" i="19"/>
  <c r="E27" i="19" s="1"/>
  <c r="C18" i="18"/>
  <c r="C24" i="18" s="1"/>
  <c r="C27" i="18"/>
  <c r="E27" i="18" s="1"/>
  <c r="E24" i="18"/>
  <c r="C30" i="18"/>
  <c r="E30" i="18" s="1"/>
  <c r="O26" i="20" l="1"/>
  <c r="D30" i="20"/>
  <c r="N26" i="20" s="1"/>
  <c r="C24" i="19"/>
  <c r="O35" i="19" s="1"/>
  <c r="D18" i="19"/>
  <c r="N32" i="19" s="1"/>
  <c r="C32" i="19"/>
  <c r="O32" i="19"/>
  <c r="C25" i="19"/>
  <c r="O30" i="18"/>
  <c r="O35" i="18"/>
  <c r="D24" i="18"/>
  <c r="N30" i="18" s="1"/>
  <c r="C32" i="18"/>
  <c r="D18" i="18"/>
  <c r="N32" i="18" s="1"/>
  <c r="O32" i="18"/>
  <c r="C25" i="18"/>
  <c r="E25" i="18" s="1"/>
  <c r="E28" i="18" s="1"/>
  <c r="N35" i="18"/>
  <c r="N20" i="2"/>
  <c r="N19" i="2"/>
  <c r="O18" i="2"/>
  <c r="N18" i="2"/>
  <c r="O17" i="2"/>
  <c r="N17" i="2"/>
  <c r="N16" i="2"/>
  <c r="N15" i="2"/>
  <c r="N35" i="19" l="1"/>
  <c r="O30" i="19"/>
  <c r="D24" i="19"/>
  <c r="N30" i="19" s="1"/>
  <c r="C33" i="19"/>
  <c r="C34" i="19" s="1"/>
  <c r="D34" i="19" s="1"/>
  <c r="E25" i="19"/>
  <c r="E28" i="19" s="1"/>
  <c r="C28" i="19"/>
  <c r="C38" i="19" s="1"/>
  <c r="E31" i="18"/>
  <c r="C33" i="18"/>
  <c r="C34" i="18" s="1"/>
  <c r="D34" i="18" s="1"/>
  <c r="C28" i="18"/>
  <c r="C38" i="18" s="1"/>
  <c r="E31" i="19" l="1"/>
  <c r="O28" i="19"/>
  <c r="O34" i="19" s="1"/>
  <c r="D28" i="19"/>
  <c r="N28" i="19" s="1"/>
  <c r="N34" i="19" s="1"/>
  <c r="C31" i="19"/>
  <c r="C39" i="19" s="1"/>
  <c r="D28" i="18"/>
  <c r="N28" i="18" s="1"/>
  <c r="N34" i="18" s="1"/>
  <c r="O28" i="18"/>
  <c r="O34" i="18" s="1"/>
  <c r="C31" i="18"/>
  <c r="C39" i="18" s="1"/>
  <c r="O29" i="19" l="1"/>
  <c r="D31" i="19"/>
  <c r="N29" i="19" s="1"/>
  <c r="O29" i="18"/>
  <c r="D31" i="18"/>
  <c r="N29" i="18" s="1"/>
  <c r="N38" i="16"/>
  <c r="E21" i="16" l="1"/>
  <c r="E20" i="16"/>
  <c r="K38" i="16"/>
  <c r="I38" i="16"/>
  <c r="K37" i="16"/>
  <c r="I37" i="16"/>
  <c r="B16" i="16"/>
  <c r="E11" i="16"/>
  <c r="J8" i="16"/>
  <c r="E8" i="16"/>
  <c r="J7" i="16"/>
  <c r="J6" i="16"/>
  <c r="J5" i="16"/>
  <c r="C19" i="16" l="1"/>
  <c r="C18" i="16"/>
  <c r="C24" i="16" s="1"/>
  <c r="E18" i="16"/>
  <c r="N34" i="16" s="1"/>
  <c r="C26" i="16"/>
  <c r="E26" i="16" s="1"/>
  <c r="C29" i="16"/>
  <c r="E29" i="16" s="1"/>
  <c r="B17" i="14"/>
  <c r="C36" i="16" l="1"/>
  <c r="C37" i="16" s="1"/>
  <c r="C38" i="16" s="1"/>
  <c r="D38" i="16" s="1"/>
  <c r="O34" i="16"/>
  <c r="C31" i="16"/>
  <c r="C32" i="16" s="1"/>
  <c r="E19" i="16"/>
  <c r="E23" i="16" s="1"/>
  <c r="C23" i="16"/>
  <c r="O29" i="16" s="1"/>
  <c r="C19" i="14"/>
  <c r="D18" i="16"/>
  <c r="E24" i="16"/>
  <c r="N34" i="8"/>
  <c r="N37" i="7"/>
  <c r="N34" i="11"/>
  <c r="E27" i="16" l="1"/>
  <c r="C33" i="16"/>
  <c r="D33" i="16" s="1"/>
  <c r="C27" i="16"/>
  <c r="N29" i="16"/>
  <c r="D23" i="16"/>
  <c r="N35" i="15"/>
  <c r="E26" i="15"/>
  <c r="C30" i="16" l="1"/>
  <c r="D42" i="16"/>
  <c r="C42" i="16"/>
  <c r="O27" i="16"/>
  <c r="O31" i="16" s="1"/>
  <c r="E30" i="16"/>
  <c r="N28" i="16" s="1"/>
  <c r="N27" i="16"/>
  <c r="N31" i="16" s="1"/>
  <c r="D27" i="16"/>
  <c r="N37" i="4"/>
  <c r="D43" i="16" l="1"/>
  <c r="C43" i="16"/>
  <c r="O28" i="16"/>
  <c r="D30" i="16"/>
  <c r="N38" i="2"/>
  <c r="N38" i="12"/>
  <c r="N36" i="14"/>
  <c r="I38" i="11" l="1"/>
  <c r="I38" i="7"/>
  <c r="I39" i="8"/>
  <c r="I38" i="13"/>
  <c r="K38" i="12"/>
  <c r="I38" i="12"/>
  <c r="K37" i="12"/>
  <c r="I37" i="12"/>
  <c r="I38" i="14"/>
  <c r="I38" i="2"/>
  <c r="I38" i="3"/>
  <c r="I39" i="6"/>
  <c r="I38" i="5"/>
  <c r="I36" i="15"/>
  <c r="J11" i="3" l="1"/>
  <c r="J10" i="3"/>
  <c r="J11" i="6"/>
  <c r="J10" i="6"/>
  <c r="J10" i="5"/>
  <c r="J11" i="5"/>
  <c r="J9" i="5"/>
  <c r="J10" i="15"/>
  <c r="J11" i="15"/>
  <c r="J11" i="4"/>
  <c r="J10" i="4"/>
  <c r="J6" i="11"/>
  <c r="J7" i="11"/>
  <c r="J8" i="11"/>
  <c r="J6" i="7"/>
  <c r="J7" i="7"/>
  <c r="J8" i="7"/>
  <c r="J9" i="7"/>
  <c r="J10" i="7"/>
  <c r="J5" i="7"/>
  <c r="J6" i="8"/>
  <c r="J7" i="8"/>
  <c r="J8" i="8"/>
  <c r="J5" i="8"/>
  <c r="J7" i="13"/>
  <c r="J8" i="13"/>
  <c r="J8" i="14"/>
  <c r="N28" i="4" l="1"/>
  <c r="D16" i="4"/>
  <c r="E18" i="2"/>
  <c r="K38" i="3" l="1"/>
  <c r="K37" i="3"/>
  <c r="I37" i="3"/>
  <c r="K39" i="6"/>
  <c r="K38" i="6"/>
  <c r="I38" i="6"/>
  <c r="K38" i="5"/>
  <c r="K37" i="5"/>
  <c r="I37" i="5"/>
  <c r="K36" i="15"/>
  <c r="K35" i="15"/>
  <c r="I35" i="15"/>
  <c r="K38" i="2"/>
  <c r="K37" i="2"/>
  <c r="I37" i="2"/>
  <c r="K39" i="8"/>
  <c r="K38" i="8"/>
  <c r="I38" i="8"/>
  <c r="K38" i="7"/>
  <c r="K37" i="7"/>
  <c r="I37" i="7"/>
  <c r="K38" i="11"/>
  <c r="K37" i="11"/>
  <c r="I37" i="11"/>
  <c r="K38" i="14"/>
  <c r="K37" i="14"/>
  <c r="I37" i="14"/>
  <c r="K38" i="13"/>
  <c r="K37" i="13" l="1"/>
  <c r="I37" i="13" l="1"/>
  <c r="C32" i="8" l="1"/>
  <c r="E8" i="13" l="1"/>
  <c r="B8" i="15" l="1"/>
  <c r="B17" i="12" l="1"/>
  <c r="E19" i="12" l="1"/>
  <c r="C19" i="12"/>
  <c r="C26" i="12"/>
  <c r="C29" i="12"/>
  <c r="C22" i="12"/>
  <c r="C21" i="12"/>
  <c r="C20" i="12"/>
  <c r="H15" i="12"/>
  <c r="I6" i="15"/>
  <c r="I5" i="15"/>
  <c r="E6" i="15"/>
  <c r="E5" i="15"/>
  <c r="B11" i="15" l="1"/>
  <c r="B10" i="15"/>
  <c r="B9" i="15"/>
  <c r="B7" i="15"/>
  <c r="B6" i="15"/>
  <c r="B15" i="15" l="1"/>
  <c r="C25" i="15" l="1"/>
  <c r="E17" i="15"/>
  <c r="C23" i="15"/>
  <c r="C21" i="15"/>
  <c r="C19" i="15"/>
  <c r="C22" i="15"/>
  <c r="C20" i="15"/>
  <c r="C18" i="15"/>
  <c r="E25" i="15" l="1"/>
  <c r="E21" i="15"/>
  <c r="C17" i="15"/>
  <c r="D17" i="15" l="1"/>
  <c r="N26" i="15" s="1"/>
  <c r="C28" i="15"/>
  <c r="E28" i="15" s="1"/>
  <c r="O14" i="15"/>
  <c r="O20" i="15" s="1"/>
  <c r="O26" i="15"/>
  <c r="E11" i="14"/>
  <c r="E8" i="14"/>
  <c r="C22" i="13"/>
  <c r="E22" i="13" s="1"/>
  <c r="E11" i="13"/>
  <c r="C21" i="13" l="1"/>
  <c r="E21" i="13" s="1"/>
  <c r="C20" i="13"/>
  <c r="E20" i="13" s="1"/>
  <c r="C29" i="13"/>
  <c r="C26" i="13"/>
  <c r="O30" i="13"/>
  <c r="D19" i="13"/>
  <c r="N30" i="13" s="1"/>
  <c r="O22" i="13"/>
  <c r="O18" i="13"/>
  <c r="O12" i="13"/>
  <c r="O16" i="13"/>
  <c r="C31" i="13" s="1"/>
  <c r="O11" i="13"/>
  <c r="O19" i="13"/>
  <c r="C21" i="14"/>
  <c r="E21" i="14" s="1"/>
  <c r="C22" i="14"/>
  <c r="E22" i="14" s="1"/>
  <c r="C20" i="14"/>
  <c r="E20" i="14" s="1"/>
  <c r="O21" i="15"/>
  <c r="O29" i="14"/>
  <c r="O19" i="14"/>
  <c r="O16" i="14"/>
  <c r="O11" i="14"/>
  <c r="C31" i="14" s="1"/>
  <c r="O18" i="14"/>
  <c r="O12" i="14"/>
  <c r="O23" i="14"/>
  <c r="E19" i="15"/>
  <c r="O12" i="15"/>
  <c r="C26" i="14"/>
  <c r="D29" i="14"/>
  <c r="D24" i="14"/>
  <c r="D26" i="14"/>
  <c r="C29" i="14"/>
  <c r="D24" i="13"/>
  <c r="H15" i="13"/>
  <c r="D26" i="13"/>
  <c r="D29" i="13"/>
  <c r="E22" i="12"/>
  <c r="E21" i="12"/>
  <c r="E20" i="12"/>
  <c r="E11" i="12"/>
  <c r="E8" i="12"/>
  <c r="E23" i="13" l="1"/>
  <c r="E23" i="12"/>
  <c r="E29" i="13"/>
  <c r="E26" i="13"/>
  <c r="C23" i="14"/>
  <c r="E20" i="15"/>
  <c r="E29" i="14"/>
  <c r="E26" i="14"/>
  <c r="C24" i="14"/>
  <c r="C32" i="14" s="1"/>
  <c r="C33" i="14" s="1"/>
  <c r="C24" i="13"/>
  <c r="C33" i="13" s="1"/>
  <c r="C23" i="13"/>
  <c r="D19" i="12"/>
  <c r="D24" i="12"/>
  <c r="D26" i="12"/>
  <c r="E26" i="12" s="1"/>
  <c r="D29" i="12"/>
  <c r="E29" i="12" s="1"/>
  <c r="C27" i="13" l="1"/>
  <c r="O27" i="14"/>
  <c r="E24" i="13"/>
  <c r="D33" i="13"/>
  <c r="C32" i="13"/>
  <c r="E24" i="14"/>
  <c r="C27" i="14"/>
  <c r="O24" i="12"/>
  <c r="O19" i="12"/>
  <c r="O13" i="12"/>
  <c r="O30" i="12"/>
  <c r="O20" i="12"/>
  <c r="O17" i="12"/>
  <c r="O12" i="12"/>
  <c r="C31" i="12" s="1"/>
  <c r="C23" i="12"/>
  <c r="N30" i="12"/>
  <c r="D23" i="13"/>
  <c r="N27" i="13" s="1"/>
  <c r="O27" i="13"/>
  <c r="C24" i="12"/>
  <c r="B15" i="11"/>
  <c r="E11" i="11"/>
  <c r="E8" i="11"/>
  <c r="C25" i="11" l="1"/>
  <c r="E25" i="11" s="1"/>
  <c r="C28" i="11"/>
  <c r="O25" i="14"/>
  <c r="O31" i="14" s="1"/>
  <c r="C36" i="14"/>
  <c r="C30" i="13"/>
  <c r="C37" i="13" s="1"/>
  <c r="C36" i="13"/>
  <c r="E28" i="11"/>
  <c r="E27" i="13"/>
  <c r="E30" i="13" s="1"/>
  <c r="C32" i="12"/>
  <c r="C33" i="12" s="1"/>
  <c r="D33" i="12" s="1"/>
  <c r="C27" i="12"/>
  <c r="E20" i="11"/>
  <c r="E18" i="11"/>
  <c r="O28" i="12"/>
  <c r="D33" i="14"/>
  <c r="E24" i="12"/>
  <c r="E27" i="12" s="1"/>
  <c r="C30" i="14"/>
  <c r="C37" i="14" s="1"/>
  <c r="O25" i="13"/>
  <c r="D23" i="12"/>
  <c r="N28" i="12" s="1"/>
  <c r="E19" i="11"/>
  <c r="C17" i="11"/>
  <c r="E17" i="11"/>
  <c r="B17" i="8"/>
  <c r="E11" i="8"/>
  <c r="E8" i="8"/>
  <c r="B16" i="7"/>
  <c r="E11" i="7"/>
  <c r="E8" i="7"/>
  <c r="C18" i="2"/>
  <c r="O15" i="2" s="1"/>
  <c r="E8" i="2"/>
  <c r="I5" i="2"/>
  <c r="C25" i="5"/>
  <c r="E25" i="5" s="1"/>
  <c r="G5" i="5"/>
  <c r="B25" i="5"/>
  <c r="B24" i="5"/>
  <c r="C24" i="5"/>
  <c r="E24" i="5" s="1"/>
  <c r="E5" i="5"/>
  <c r="E6" i="5"/>
  <c r="B15" i="5"/>
  <c r="I6" i="5"/>
  <c r="I5" i="5"/>
  <c r="E11" i="5"/>
  <c r="E9" i="5"/>
  <c r="E10" i="5"/>
  <c r="B11" i="5"/>
  <c r="B10" i="5"/>
  <c r="B6" i="5"/>
  <c r="B7" i="5"/>
  <c r="B8" i="5"/>
  <c r="B15" i="3"/>
  <c r="B23" i="3"/>
  <c r="E10" i="3"/>
  <c r="I5" i="3"/>
  <c r="E5" i="3"/>
  <c r="B17" i="6"/>
  <c r="G6" i="6"/>
  <c r="G5" i="6"/>
  <c r="C24" i="6" s="1"/>
  <c r="I6" i="6"/>
  <c r="I5" i="6"/>
  <c r="E10" i="6"/>
  <c r="E9" i="6"/>
  <c r="E6" i="6"/>
  <c r="E5" i="6"/>
  <c r="C25" i="6"/>
  <c r="D24" i="6"/>
  <c r="D25" i="6"/>
  <c r="D27" i="6"/>
  <c r="D30" i="6"/>
  <c r="B24" i="6"/>
  <c r="G6" i="5"/>
  <c r="D29" i="5"/>
  <c r="C16" i="5"/>
  <c r="B16" i="5" s="1"/>
  <c r="C21" i="4"/>
  <c r="E21" i="4" s="1"/>
  <c r="C16" i="4"/>
  <c r="B14" i="4"/>
  <c r="E10" i="4"/>
  <c r="B16" i="2"/>
  <c r="C20" i="2" s="1"/>
  <c r="O26" i="11" l="1"/>
  <c r="C30" i="11"/>
  <c r="C31" i="4"/>
  <c r="C30" i="12"/>
  <c r="C37" i="12" s="1"/>
  <c r="C36" i="12"/>
  <c r="E24" i="6"/>
  <c r="E25" i="6"/>
  <c r="C27" i="5"/>
  <c r="E27" i="5" s="1"/>
  <c r="C29" i="2"/>
  <c r="C25" i="2"/>
  <c r="D27" i="13"/>
  <c r="N25" i="13" s="1"/>
  <c r="O26" i="12"/>
  <c r="O33" i="12" s="1"/>
  <c r="D21" i="6"/>
  <c r="C22" i="6"/>
  <c r="E22" i="6" s="1"/>
  <c r="C20" i="6"/>
  <c r="C21" i="6"/>
  <c r="C23" i="4"/>
  <c r="E16" i="5"/>
  <c r="D16" i="5" s="1"/>
  <c r="D27" i="5"/>
  <c r="D22" i="6"/>
  <c r="B25" i="6"/>
  <c r="D29" i="6"/>
  <c r="D20" i="6"/>
  <c r="C17" i="3"/>
  <c r="C29" i="3" s="1"/>
  <c r="E29" i="3" s="1"/>
  <c r="C21" i="3"/>
  <c r="C20" i="3"/>
  <c r="C18" i="3"/>
  <c r="E18" i="3" s="1"/>
  <c r="C19" i="3"/>
  <c r="E19" i="3" s="1"/>
  <c r="D17" i="3"/>
  <c r="N25" i="3" s="1"/>
  <c r="E17" i="3"/>
  <c r="C25" i="3"/>
  <c r="E25" i="3" s="1"/>
  <c r="C19" i="6"/>
  <c r="O16" i="6" s="1"/>
  <c r="E19" i="6"/>
  <c r="C17" i="5"/>
  <c r="O36" i="5" s="1"/>
  <c r="E17" i="5"/>
  <c r="C26" i="4"/>
  <c r="E26" i="4" s="1"/>
  <c r="D17" i="11"/>
  <c r="C18" i="7"/>
  <c r="O17" i="7" s="1"/>
  <c r="C19" i="7"/>
  <c r="E19" i="7" s="1"/>
  <c r="C20" i="7"/>
  <c r="E20" i="7" s="1"/>
  <c r="C21" i="7"/>
  <c r="E21" i="7" s="1"/>
  <c r="C22" i="7"/>
  <c r="E22" i="7" s="1"/>
  <c r="C19" i="2"/>
  <c r="E19" i="2" s="1"/>
  <c r="E20" i="2"/>
  <c r="C21" i="2"/>
  <c r="E21" i="2" s="1"/>
  <c r="C27" i="8"/>
  <c r="E27" i="8" s="1"/>
  <c r="C23" i="8"/>
  <c r="E23" i="8" s="1"/>
  <c r="C20" i="8"/>
  <c r="E20" i="8" s="1"/>
  <c r="C21" i="8"/>
  <c r="E21" i="8" s="1"/>
  <c r="C22" i="8"/>
  <c r="E22" i="8" s="1"/>
  <c r="D23" i="2"/>
  <c r="D29" i="2"/>
  <c r="D25" i="2"/>
  <c r="C23" i="2"/>
  <c r="D18" i="2"/>
  <c r="N29" i="2" s="1"/>
  <c r="E30" i="12"/>
  <c r="C24" i="4"/>
  <c r="E24" i="4" s="1"/>
  <c r="C29" i="4"/>
  <c r="E29" i="4" s="1"/>
  <c r="O28" i="4"/>
  <c r="O26" i="14"/>
  <c r="O26" i="13"/>
  <c r="D30" i="13"/>
  <c r="N26" i="13" s="1"/>
  <c r="D27" i="12"/>
  <c r="N26" i="12" s="1"/>
  <c r="N33" i="12" s="1"/>
  <c r="E20" i="3"/>
  <c r="C23" i="11"/>
  <c r="O14" i="5"/>
  <c r="C22" i="5"/>
  <c r="E22" i="5" s="1"/>
  <c r="C18" i="5"/>
  <c r="E18" i="5" s="1"/>
  <c r="C22" i="11"/>
  <c r="O30" i="11" s="1"/>
  <c r="E22" i="11"/>
  <c r="C29" i="7"/>
  <c r="E19" i="8"/>
  <c r="C19" i="8"/>
  <c r="C30" i="8"/>
  <c r="E30" i="8" s="1"/>
  <c r="E18" i="7"/>
  <c r="C26" i="7"/>
  <c r="O20" i="2"/>
  <c r="O30" i="5"/>
  <c r="E23" i="4"/>
  <c r="C27" i="6"/>
  <c r="E27" i="6" s="1"/>
  <c r="C19" i="5"/>
  <c r="C21" i="5"/>
  <c r="E21" i="5" s="1"/>
  <c r="C29" i="5"/>
  <c r="E29" i="5" s="1"/>
  <c r="O16" i="2"/>
  <c r="C31" i="2"/>
  <c r="O13" i="5"/>
  <c r="O29" i="2"/>
  <c r="O14" i="3" l="1"/>
  <c r="C31" i="3" s="1"/>
  <c r="C29" i="6"/>
  <c r="E29" i="6" s="1"/>
  <c r="C23" i="3"/>
  <c r="O15" i="3"/>
  <c r="C24" i="7"/>
  <c r="B17" i="5"/>
  <c r="O18" i="7"/>
  <c r="O19" i="3"/>
  <c r="C32" i="4"/>
  <c r="D23" i="4"/>
  <c r="C31" i="11"/>
  <c r="C32" i="11"/>
  <c r="D32" i="11" s="1"/>
  <c r="O27" i="12"/>
  <c r="C20" i="5"/>
  <c r="E20" i="5" s="1"/>
  <c r="O13" i="7"/>
  <c r="O20" i="7" s="1"/>
  <c r="B19" i="6"/>
  <c r="C27" i="4"/>
  <c r="E21" i="6"/>
  <c r="C30" i="6"/>
  <c r="E30" i="6" s="1"/>
  <c r="O21" i="6"/>
  <c r="O24" i="7"/>
  <c r="O30" i="7"/>
  <c r="O27" i="6"/>
  <c r="E24" i="8"/>
  <c r="C23" i="6"/>
  <c r="O15" i="6"/>
  <c r="C26" i="11"/>
  <c r="E25" i="2"/>
  <c r="E29" i="2"/>
  <c r="E23" i="2"/>
  <c r="C32" i="2"/>
  <c r="C33" i="2" s="1"/>
  <c r="D33" i="2" s="1"/>
  <c r="O25" i="3"/>
  <c r="B17" i="3"/>
  <c r="E20" i="6"/>
  <c r="E23" i="6" s="1"/>
  <c r="C33" i="6"/>
  <c r="C32" i="6"/>
  <c r="C34" i="6" s="1"/>
  <c r="D34" i="6" s="1"/>
  <c r="D19" i="6"/>
  <c r="N27" i="6" s="1"/>
  <c r="C32" i="5"/>
  <c r="C31" i="5"/>
  <c r="C33" i="5" s="1"/>
  <c r="D33" i="5" s="1"/>
  <c r="D17" i="5"/>
  <c r="N36" i="5" s="1"/>
  <c r="C33" i="4"/>
  <c r="D33" i="4" s="1"/>
  <c r="N30" i="11"/>
  <c r="C23" i="7"/>
  <c r="O28" i="7" s="1"/>
  <c r="C24" i="8"/>
  <c r="O25" i="8" s="1"/>
  <c r="D19" i="8"/>
  <c r="N27" i="8" s="1"/>
  <c r="C32" i="3"/>
  <c r="E23" i="3"/>
  <c r="C33" i="3"/>
  <c r="D33" i="3" s="1"/>
  <c r="C32" i="7"/>
  <c r="C31" i="7"/>
  <c r="C33" i="7" s="1"/>
  <c r="D33" i="7" s="1"/>
  <c r="D18" i="7"/>
  <c r="N30" i="7" s="1"/>
  <c r="E23" i="11"/>
  <c r="E26" i="11" s="1"/>
  <c r="C22" i="3"/>
  <c r="O28" i="3" s="1"/>
  <c r="D30" i="12"/>
  <c r="N27" i="12" s="1"/>
  <c r="C22" i="2"/>
  <c r="C26" i="2" s="1"/>
  <c r="E21" i="3"/>
  <c r="E22" i="3" s="1"/>
  <c r="N28" i="3" s="1"/>
  <c r="C25" i="8"/>
  <c r="O27" i="8"/>
  <c r="O24" i="11"/>
  <c r="D22" i="11"/>
  <c r="E22" i="2"/>
  <c r="E23" i="7"/>
  <c r="C27" i="7"/>
  <c r="O26" i="7" s="1"/>
  <c r="O32" i="7" s="1"/>
  <c r="E24" i="7"/>
  <c r="E29" i="7"/>
  <c r="E26" i="7"/>
  <c r="C28" i="6"/>
  <c r="O25" i="6"/>
  <c r="E19" i="5"/>
  <c r="C23" i="5"/>
  <c r="O34" i="5" s="1"/>
  <c r="E27" i="4"/>
  <c r="N25" i="4" s="1"/>
  <c r="C30" i="4" l="1"/>
  <c r="O26" i="4" s="1"/>
  <c r="O25" i="4"/>
  <c r="D27" i="4"/>
  <c r="C29" i="11"/>
  <c r="C36" i="11" s="1"/>
  <c r="C35" i="11"/>
  <c r="C30" i="2"/>
  <c r="C37" i="2" s="1"/>
  <c r="C36" i="2"/>
  <c r="N30" i="8"/>
  <c r="D24" i="8"/>
  <c r="O22" i="11"/>
  <c r="O29" i="11" s="1"/>
  <c r="O30" i="8"/>
  <c r="E23" i="5"/>
  <c r="E28" i="5" s="1"/>
  <c r="E30" i="5" s="1"/>
  <c r="D23" i="6"/>
  <c r="N25" i="6" s="1"/>
  <c r="E28" i="6"/>
  <c r="E31" i="6" s="1"/>
  <c r="O23" i="3"/>
  <c r="E26" i="3"/>
  <c r="C26" i="3"/>
  <c r="O33" i="7"/>
  <c r="N33" i="7"/>
  <c r="D23" i="7"/>
  <c r="N28" i="7" s="1"/>
  <c r="E25" i="8"/>
  <c r="E28" i="8" s="1"/>
  <c r="E31" i="8" s="1"/>
  <c r="C33" i="8"/>
  <c r="C34" i="8"/>
  <c r="D34" i="8" s="1"/>
  <c r="O27" i="2"/>
  <c r="E26" i="2"/>
  <c r="D27" i="2" s="1"/>
  <c r="O21" i="3"/>
  <c r="O27" i="3" s="1"/>
  <c r="D22" i="3"/>
  <c r="N23" i="3" s="1"/>
  <c r="C28" i="8"/>
  <c r="O23" i="8" s="1"/>
  <c r="O29" i="8" s="1"/>
  <c r="E29" i="11"/>
  <c r="D26" i="11"/>
  <c r="N22" i="11" s="1"/>
  <c r="N29" i="11" s="1"/>
  <c r="N24" i="11"/>
  <c r="D22" i="2"/>
  <c r="N27" i="2" s="1"/>
  <c r="N25" i="8"/>
  <c r="C30" i="7"/>
  <c r="O27" i="7" s="1"/>
  <c r="E27" i="7"/>
  <c r="E30" i="7" s="1"/>
  <c r="C28" i="5"/>
  <c r="O32" i="5" s="1"/>
  <c r="E30" i="4"/>
  <c r="C31" i="6"/>
  <c r="O23" i="6"/>
  <c r="D23" i="5" l="1"/>
  <c r="N34" i="5" s="1"/>
  <c r="D30" i="4"/>
  <c r="N26" i="4"/>
  <c r="O23" i="11"/>
  <c r="E30" i="2"/>
  <c r="D30" i="2" s="1"/>
  <c r="N26" i="2" s="1"/>
  <c r="D28" i="6"/>
  <c r="N23" i="6" s="1"/>
  <c r="D26" i="3"/>
  <c r="N21" i="3" s="1"/>
  <c r="N27" i="3" s="1"/>
  <c r="E30" i="3"/>
  <c r="D28" i="8"/>
  <c r="N23" i="8" s="1"/>
  <c r="N29" i="8" s="1"/>
  <c r="D26" i="2"/>
  <c r="N25" i="2" s="1"/>
  <c r="N31" i="2" s="1"/>
  <c r="C30" i="3"/>
  <c r="O22" i="3" s="1"/>
  <c r="O25" i="2"/>
  <c r="O31" i="2" s="1"/>
  <c r="C31" i="8"/>
  <c r="O24" i="8" s="1"/>
  <c r="D29" i="11"/>
  <c r="N23" i="11" s="1"/>
  <c r="D31" i="8"/>
  <c r="N24" i="8" s="1"/>
  <c r="D30" i="7"/>
  <c r="N27" i="7" s="1"/>
  <c r="D27" i="7"/>
  <c r="N26" i="7" s="1"/>
  <c r="N32" i="7" s="1"/>
  <c r="C30" i="5"/>
  <c r="O33" i="5" s="1"/>
  <c r="D28" i="5"/>
  <c r="N32" i="5" s="1"/>
  <c r="O24" i="6"/>
  <c r="D31" i="6"/>
  <c r="N24" i="6" s="1"/>
  <c r="D30" i="3" l="1"/>
  <c r="N22" i="3" s="1"/>
  <c r="O26" i="2"/>
  <c r="D30" i="5"/>
  <c r="N33" i="5" s="1"/>
  <c r="E23" i="15" l="1"/>
  <c r="E22" i="15"/>
  <c r="E18" i="15"/>
  <c r="C24" i="15"/>
  <c r="D30" i="15" l="1"/>
  <c r="C27" i="15"/>
  <c r="C36" i="15" s="1"/>
  <c r="E24" i="15"/>
  <c r="O25" i="15"/>
  <c r="O23" i="15" l="1"/>
  <c r="O28" i="15" s="1"/>
  <c r="C29" i="15"/>
  <c r="D31" i="15"/>
  <c r="E27" i="15"/>
  <c r="E29" i="15" s="1"/>
  <c r="D24" i="15"/>
  <c r="N25" i="15" s="1"/>
  <c r="D32" i="15" l="1"/>
  <c r="C37" i="15"/>
  <c r="D27" i="15"/>
  <c r="N23" i="15" s="1"/>
  <c r="N28" i="15" s="1"/>
  <c r="D33" i="15"/>
  <c r="D29" i="15"/>
  <c r="N24" i="15" s="1"/>
  <c r="O24" i="15"/>
  <c r="E23" i="14"/>
  <c r="E27" i="14" l="1"/>
  <c r="D23" i="14"/>
  <c r="N27" i="14" s="1"/>
  <c r="D19" i="14"/>
  <c r="N29" i="14" s="1"/>
  <c r="E30" i="14" l="1"/>
  <c r="D30" i="14" s="1"/>
  <c r="N26" i="14" s="1"/>
  <c r="D27" i="14"/>
  <c r="N25" i="14" s="1"/>
  <c r="N31" i="14" s="1"/>
</calcChain>
</file>

<file path=xl/sharedStrings.xml><?xml version="1.0" encoding="utf-8"?>
<sst xmlns="http://schemas.openxmlformats.org/spreadsheetml/2006/main" count="738" uniqueCount="155">
  <si>
    <t>Weight</t>
  </si>
  <si>
    <t>Moment</t>
  </si>
  <si>
    <t>Aircraft Tail Number</t>
  </si>
  <si>
    <t>Arm</t>
  </si>
  <si>
    <t>Takeoff Weight</t>
  </si>
  <si>
    <t>Landing Weight</t>
  </si>
  <si>
    <t>8229P</t>
  </si>
  <si>
    <t>4385W</t>
  </si>
  <si>
    <t>Tail Number  =       N</t>
  </si>
  <si>
    <t>255WP</t>
  </si>
  <si>
    <t>Middle Row</t>
  </si>
  <si>
    <t>Rear Row</t>
  </si>
  <si>
    <t>Forward Baggage</t>
  </si>
  <si>
    <t>Rear Baggage</t>
  </si>
  <si>
    <t>Fuel Used</t>
  </si>
  <si>
    <t>Pilot &amp; Copilot</t>
  </si>
  <si>
    <t>Zero Fuel</t>
  </si>
  <si>
    <t>Baron Envelope</t>
  </si>
  <si>
    <t>Aztec Envelope</t>
  </si>
  <si>
    <t>Aircraft Weight and Moments</t>
  </si>
  <si>
    <t>Data Points</t>
  </si>
  <si>
    <t>Hidden Below</t>
  </si>
  <si>
    <r>
      <t xml:space="preserve">Fuel </t>
    </r>
    <r>
      <rPr>
        <b/>
        <sz val="10"/>
        <color indexed="10"/>
        <rFont val="Arial"/>
        <family val="2"/>
      </rPr>
      <t>Used</t>
    </r>
    <r>
      <rPr>
        <b/>
        <sz val="10"/>
        <rFont val="Arial"/>
        <family val="2"/>
      </rPr>
      <t xml:space="preserve"> in Gallons</t>
    </r>
  </si>
  <si>
    <r>
      <t>Zero Fuel (</t>
    </r>
    <r>
      <rPr>
        <b/>
        <sz val="10"/>
        <color indexed="10"/>
        <rFont val="Arial"/>
        <family val="2"/>
      </rPr>
      <t>4400 max</t>
    </r>
    <r>
      <rPr>
        <b/>
        <sz val="10"/>
        <rFont val="Arial"/>
        <family val="2"/>
      </rPr>
      <t>)</t>
    </r>
  </si>
  <si>
    <t>Fuel Used - Mains</t>
  </si>
  <si>
    <t>Fuel Used - Aux</t>
  </si>
  <si>
    <t>Rear Passengers</t>
  </si>
  <si>
    <t>Start/Taxi (gal)       =</t>
  </si>
  <si>
    <t>Start/Taxi</t>
  </si>
  <si>
    <t>8395Y</t>
  </si>
  <si>
    <t>Total Fuel               =</t>
  </si>
  <si>
    <t>Empty Weight</t>
  </si>
  <si>
    <t>Total Fuel</t>
  </si>
  <si>
    <t>Tail Number  =         N</t>
  </si>
  <si>
    <t>Gear Retraction</t>
  </si>
  <si>
    <t xml:space="preserve">Pilot &amp; Front Pax        = </t>
  </si>
  <si>
    <t>Rear Baggage           =</t>
  </si>
  <si>
    <t>Cougar Envelope</t>
  </si>
  <si>
    <t>Front Baggage</t>
  </si>
  <si>
    <r>
      <t>Enter data in</t>
    </r>
    <r>
      <rPr>
        <b/>
        <sz val="10"/>
        <rFont val="Arial"/>
        <family val="2"/>
      </rPr>
      <t xml:space="preserve"> Yellow highlighted</t>
    </r>
    <r>
      <rPr>
        <sz val="10"/>
        <rFont val="Arial"/>
        <family val="2"/>
      </rPr>
      <t xml:space="preserve"> boxes only</t>
    </r>
  </si>
  <si>
    <t>Manual Fuel Loads in Gallons</t>
  </si>
  <si>
    <r>
      <t>Enter data in</t>
    </r>
    <r>
      <rPr>
        <b/>
        <sz val="10"/>
        <rFont val="Arial"/>
        <family val="2"/>
      </rPr>
      <t xml:space="preserve"> Yellow highlighted </t>
    </r>
    <r>
      <rPr>
        <sz val="10"/>
        <rFont val="Arial"/>
        <family val="2"/>
      </rPr>
      <t>boxes only</t>
    </r>
  </si>
  <si>
    <r>
      <t xml:space="preserve">Enter data in </t>
    </r>
    <r>
      <rPr>
        <b/>
        <sz val="10"/>
        <rFont val="Arial"/>
        <family val="2"/>
      </rPr>
      <t xml:space="preserve">Yellow highlighted </t>
    </r>
    <r>
      <rPr>
        <sz val="10"/>
        <rFont val="Arial"/>
        <family val="2"/>
      </rPr>
      <t>boxes only</t>
    </r>
  </si>
  <si>
    <t>Standard Fuel Loads in Gallons</t>
  </si>
  <si>
    <t>769GA</t>
  </si>
  <si>
    <t>Standard Fuel Load in Gallons</t>
  </si>
  <si>
    <t>Standard Fuel load in Gallons</t>
  </si>
  <si>
    <t>Total Fuel (gal)         =</t>
  </si>
  <si>
    <t>Rear Baggage Area 1</t>
  </si>
  <si>
    <t>6826C</t>
  </si>
  <si>
    <t>5428L</t>
  </si>
  <si>
    <t>7963F</t>
  </si>
  <si>
    <t>Cessna 182</t>
  </si>
  <si>
    <t>Cessna 172</t>
  </si>
  <si>
    <t>Cessna 152</t>
  </si>
  <si>
    <t xml:space="preserve">Rear Baggage Area 2 </t>
  </si>
  <si>
    <t>Seneca Envelope</t>
  </si>
  <si>
    <t>Jump Seat</t>
  </si>
  <si>
    <t>Rear Seats</t>
  </si>
  <si>
    <t>Center Seats</t>
  </si>
  <si>
    <t>Basic Empty Weight</t>
  </si>
  <si>
    <t>Standard Fuel Load Configuration</t>
  </si>
  <si>
    <t>Pilot &amp; Front Pax</t>
  </si>
  <si>
    <t>pounds</t>
  </si>
  <si>
    <t>gallons</t>
  </si>
  <si>
    <r>
      <t xml:space="preserve">Total Fuel </t>
    </r>
    <r>
      <rPr>
        <b/>
        <sz val="10"/>
        <color rgb="FFFF0000"/>
        <rFont val="Arial"/>
        <family val="2"/>
      </rPr>
      <t>Used</t>
    </r>
  </si>
  <si>
    <t>4000# Maximum Takeoff Fuel Load</t>
  </si>
  <si>
    <t>4000# Maximum Takeoff Weight</t>
  </si>
  <si>
    <t>4200# Takeoff, 4000# Landing</t>
  </si>
  <si>
    <t>128AV</t>
  </si>
  <si>
    <t>Wind Speed &gt;&gt;</t>
  </si>
  <si>
    <t>Wind Direction &gt;&gt;</t>
  </si>
  <si>
    <t>Useful Load</t>
  </si>
  <si>
    <t>Remaining Useful Load</t>
  </si>
  <si>
    <t>Variable</t>
  </si>
  <si>
    <t>to</t>
  </si>
  <si>
    <t>Gusting to</t>
  </si>
  <si>
    <t>Variable Direction Crosswind</t>
  </si>
  <si>
    <t>Single Direction Crosswind</t>
  </si>
  <si>
    <t>Runway</t>
  </si>
  <si>
    <t>Fuel</t>
  </si>
  <si>
    <t>Front Positions</t>
  </si>
  <si>
    <t>Rear Positions</t>
  </si>
  <si>
    <r>
      <rPr>
        <b/>
        <sz val="10"/>
        <color rgb="FF3366FF"/>
        <rFont val="Arial"/>
        <family val="2"/>
      </rPr>
      <t>Front Right</t>
    </r>
    <r>
      <rPr>
        <sz val="10"/>
        <rFont val="Arial"/>
        <family val="2"/>
      </rPr>
      <t xml:space="preserve"> Position</t>
    </r>
  </si>
  <si>
    <r>
      <rPr>
        <b/>
        <sz val="10"/>
        <color rgb="FF3366FF"/>
        <rFont val="Arial"/>
        <family val="2"/>
      </rPr>
      <t>Front Left</t>
    </r>
    <r>
      <rPr>
        <sz val="10"/>
        <rFont val="Arial"/>
        <family val="2"/>
      </rPr>
      <t xml:space="preserve"> Position</t>
    </r>
  </si>
  <si>
    <r>
      <rPr>
        <b/>
        <sz val="10"/>
        <color rgb="FF009900"/>
        <rFont val="Arial"/>
        <family val="2"/>
      </rPr>
      <t>Rear Left</t>
    </r>
    <r>
      <rPr>
        <sz val="10"/>
        <rFont val="Arial"/>
        <family val="2"/>
      </rPr>
      <t xml:space="preserve"> Position</t>
    </r>
  </si>
  <si>
    <r>
      <rPr>
        <b/>
        <sz val="10"/>
        <color rgb="FF009900"/>
        <rFont val="Arial"/>
        <family val="2"/>
      </rPr>
      <t>Rear Right</t>
    </r>
    <r>
      <rPr>
        <sz val="10"/>
        <rFont val="Arial"/>
        <family val="2"/>
      </rPr>
      <t xml:space="preserve"> Position</t>
    </r>
  </si>
  <si>
    <r>
      <rPr>
        <b/>
        <sz val="10"/>
        <color rgb="FF3366FF"/>
        <rFont val="Arial"/>
        <family val="2"/>
      </rPr>
      <t xml:space="preserve">Front Left </t>
    </r>
    <r>
      <rPr>
        <sz val="10"/>
        <rFont val="Arial"/>
        <family val="2"/>
      </rPr>
      <t>Position</t>
    </r>
  </si>
  <si>
    <r>
      <rPr>
        <b/>
        <sz val="10"/>
        <color rgb="FF3366FF"/>
        <rFont val="Arial"/>
        <family val="2"/>
      </rPr>
      <t xml:space="preserve">Front Right </t>
    </r>
    <r>
      <rPr>
        <sz val="10"/>
        <rFont val="Arial"/>
        <family val="2"/>
      </rPr>
      <t>Position</t>
    </r>
  </si>
  <si>
    <r>
      <rPr>
        <b/>
        <sz val="10"/>
        <color rgb="FF3366FF"/>
        <rFont val="Arial"/>
        <family val="2"/>
      </rPr>
      <t>Front Right</t>
    </r>
    <r>
      <rPr>
        <sz val="10"/>
        <rFont val="Arial"/>
        <family val="2"/>
      </rPr>
      <t xml:space="preserve"> Position </t>
    </r>
  </si>
  <si>
    <r>
      <rPr>
        <b/>
        <sz val="10"/>
        <color rgb="FF009900"/>
        <rFont val="Arial"/>
        <family val="2"/>
      </rPr>
      <t xml:space="preserve">Rear Left </t>
    </r>
    <r>
      <rPr>
        <sz val="10"/>
        <rFont val="Arial"/>
        <family val="2"/>
      </rPr>
      <t>Position</t>
    </r>
  </si>
  <si>
    <r>
      <rPr>
        <b/>
        <sz val="10"/>
        <color rgb="FF009900"/>
        <rFont val="Arial"/>
        <family val="2"/>
      </rPr>
      <t xml:space="preserve">Rear Right </t>
    </r>
    <r>
      <rPr>
        <sz val="10"/>
        <rFont val="Arial"/>
        <family val="2"/>
      </rPr>
      <t>Position</t>
    </r>
  </si>
  <si>
    <r>
      <t xml:space="preserve">Useful Load </t>
    </r>
    <r>
      <rPr>
        <b/>
        <i/>
        <sz val="10"/>
        <rFont val="Arial"/>
        <family val="2"/>
      </rPr>
      <t>After</t>
    </r>
    <r>
      <rPr>
        <i/>
        <sz val="10"/>
        <rFont val="Arial"/>
        <family val="2"/>
      </rPr>
      <t xml:space="preserve"> Fuel</t>
    </r>
  </si>
  <si>
    <r>
      <t xml:space="preserve">Useful Load </t>
    </r>
    <r>
      <rPr>
        <b/>
        <i/>
        <sz val="10"/>
        <rFont val="Arial"/>
        <family val="2"/>
      </rPr>
      <t>After</t>
    </r>
    <r>
      <rPr>
        <sz val="10"/>
        <rFont val="Arial"/>
        <family val="2"/>
      </rPr>
      <t xml:space="preserve"> Fuel</t>
    </r>
  </si>
  <si>
    <t>Rear Baggage #1</t>
  </si>
  <si>
    <t>Rear Baggage #2</t>
  </si>
  <si>
    <t>9114D</t>
  </si>
  <si>
    <t>Archer Envelope</t>
  </si>
  <si>
    <t>5897V</t>
  </si>
  <si>
    <t>Pilot</t>
  </si>
  <si>
    <r>
      <rPr>
        <b/>
        <sz val="10"/>
        <color rgb="FF3366FF"/>
        <rFont val="Arial"/>
        <family val="2"/>
      </rPr>
      <t>Instructor or Pax</t>
    </r>
    <r>
      <rPr>
        <sz val="10"/>
        <rFont val="Arial"/>
        <family val="2"/>
      </rPr>
      <t xml:space="preserve">  </t>
    </r>
  </si>
  <si>
    <t>Instructor or Pax</t>
  </si>
  <si>
    <t>Baggage</t>
  </si>
  <si>
    <t>Super Decathlon</t>
  </si>
  <si>
    <t>263MA</t>
  </si>
  <si>
    <t>110FL</t>
  </si>
  <si>
    <r>
      <t xml:space="preserve">Useful Load </t>
    </r>
    <r>
      <rPr>
        <b/>
        <i/>
        <sz val="10"/>
        <rFont val="Arial"/>
        <family val="2"/>
      </rPr>
      <t>After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Fuel</t>
    </r>
  </si>
  <si>
    <r>
      <t xml:space="preserve">Fuel </t>
    </r>
    <r>
      <rPr>
        <b/>
        <sz val="10"/>
        <color rgb="FFFF0000"/>
        <rFont val="Arial"/>
        <family val="2"/>
      </rPr>
      <t>Used</t>
    </r>
    <r>
      <rPr>
        <b/>
        <sz val="10"/>
        <rFont val="Arial"/>
        <family val="2"/>
      </rPr>
      <t xml:space="preserve"> in Gallons</t>
    </r>
  </si>
  <si>
    <t>5932V</t>
  </si>
  <si>
    <t>Z</t>
  </si>
  <si>
    <t>L</t>
  </si>
  <si>
    <t>T</t>
  </si>
  <si>
    <t>Front Seat Occupants</t>
  </si>
  <si>
    <t>Rear Seat Occupants</t>
  </si>
  <si>
    <t>SR22 G3</t>
  </si>
  <si>
    <t>SR22 G1 or G2</t>
  </si>
  <si>
    <t>O2 (weigh if carried)</t>
  </si>
  <si>
    <t>85WF</t>
  </si>
  <si>
    <t>348CD</t>
  </si>
  <si>
    <t>184KT</t>
  </si>
  <si>
    <t>2553Y</t>
  </si>
  <si>
    <t>Normal Category</t>
  </si>
  <si>
    <t>Aerobatic Category</t>
  </si>
  <si>
    <t>Arrow III Envelope</t>
  </si>
  <si>
    <t>Arrow IV Envelope</t>
  </si>
  <si>
    <t>320CD</t>
  </si>
  <si>
    <t>Va at Max Gross Weight</t>
  </si>
  <si>
    <t>Va at Landing Weight</t>
  </si>
  <si>
    <t>Va at Takeoff Weight</t>
  </si>
  <si>
    <t xml:space="preserve">Basic aircraft weight and </t>
  </si>
  <si>
    <t xml:space="preserve">moment include full TKS fluid </t>
  </si>
  <si>
    <t>(26.7 lb @ FS181.0)</t>
  </si>
  <si>
    <t>(32.2 lb @ FS148.0)</t>
  </si>
  <si>
    <t>Normal</t>
  </si>
  <si>
    <t>Acrobatic</t>
  </si>
  <si>
    <t>Forward</t>
  </si>
  <si>
    <t>Center</t>
  </si>
  <si>
    <t>Aft</t>
  </si>
  <si>
    <t>Front Seat Position</t>
  </si>
  <si>
    <t>263SR</t>
  </si>
  <si>
    <t>777RY w/o AC</t>
  </si>
  <si>
    <t>777RY w/ AC</t>
  </si>
  <si>
    <t>2565M</t>
  </si>
  <si>
    <t>8408L</t>
  </si>
  <si>
    <t>N21RG</t>
  </si>
  <si>
    <t>C207T Envelope</t>
  </si>
  <si>
    <t xml:space="preserve">Passengers Center </t>
  </si>
  <si>
    <t>Rear Seat Passengers</t>
  </si>
  <si>
    <t>Aft Seat Passenger</t>
  </si>
  <si>
    <t>Rear Seat Pax            =</t>
  </si>
  <si>
    <t>Center Seat Pax         =</t>
  </si>
  <si>
    <t>Aft Seat Passenger    =</t>
  </si>
  <si>
    <t>Forward Baggage      =</t>
  </si>
  <si>
    <t>5060V</t>
  </si>
  <si>
    <t>120BJ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</si>
</sst>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_);[Red]\(0.0\)"/>
    <numFmt numFmtId="166" formatCode="0.00_);[Red]\(0.00\)"/>
    <numFmt numFmtId="167" formatCode="0_);[Red]\(0\)"/>
    <numFmt numFmtId="168" formatCode="0.0;[Red]0.0"/>
    <numFmt numFmtId="169" formatCode="[$-409]d\-mmm\-yy;@"/>
  </numFmts>
  <fonts count="7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8"/>
      <color rgb="FFC00000"/>
      <name val="Arial"/>
      <family val="2"/>
    </font>
    <font>
      <sz val="10"/>
      <color theme="0" tint="-0.249977111117893"/>
      <name val="Arial"/>
      <family val="2"/>
    </font>
    <font>
      <sz val="6"/>
      <color theme="0" tint="-0.249977111117893"/>
      <name val="Arial"/>
      <family val="2"/>
    </font>
    <font>
      <b/>
      <sz val="10"/>
      <color rgb="FFFF0000"/>
      <name val="Arial"/>
      <family val="2"/>
    </font>
    <font>
      <sz val="9"/>
      <name val="Calibri"/>
      <family val="2"/>
      <scheme val="minor"/>
    </font>
    <font>
      <sz val="6"/>
      <color rgb="FFC0000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9"/>
      <color theme="0" tint="-0.14999847407452621"/>
      <name val="Calibri"/>
      <family val="2"/>
      <scheme val="minor"/>
    </font>
    <font>
      <sz val="6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b/>
      <sz val="10"/>
      <color rgb="FFC00000"/>
      <name val="Arial"/>
      <family val="2"/>
    </font>
    <font>
      <sz val="6"/>
      <name val="Arial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i/>
      <sz val="10"/>
      <name val="Arial"/>
      <family val="2"/>
    </font>
    <font>
      <b/>
      <sz val="9.5"/>
      <name val="Calibri"/>
      <family val="2"/>
      <scheme val="minor"/>
    </font>
    <font>
      <b/>
      <u/>
      <sz val="10"/>
      <color rgb="FFC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9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color rgb="FF3366FF"/>
      <name val="Arial"/>
      <family val="2"/>
    </font>
    <font>
      <sz val="10"/>
      <color rgb="FF009900"/>
      <name val="Arial"/>
      <family val="2"/>
    </font>
    <font>
      <b/>
      <sz val="10"/>
      <color rgb="FF009900"/>
      <name val="Arial"/>
      <family val="2"/>
    </font>
    <font>
      <b/>
      <i/>
      <sz val="10"/>
      <name val="Arial"/>
      <family val="2"/>
    </font>
    <font>
      <sz val="8"/>
      <color rgb="FF009900"/>
      <name val="Arial"/>
      <family val="2"/>
    </font>
    <font>
      <sz val="10"/>
      <color rgb="FF009900"/>
      <name val="Calibri"/>
      <family val="2"/>
      <scheme val="minor"/>
    </font>
    <font>
      <sz val="10"/>
      <color rgb="FF3366FF"/>
      <name val="Arial"/>
      <family val="2"/>
    </font>
    <font>
      <sz val="10"/>
      <color rgb="FF3366FF"/>
      <name val="Calibri"/>
      <family val="2"/>
      <scheme val="minor"/>
    </font>
    <font>
      <sz val="10"/>
      <color rgb="FFD9D9D9"/>
      <name val="Arial"/>
      <family val="2"/>
    </font>
    <font>
      <b/>
      <sz val="10"/>
      <color rgb="FFFFFFFF"/>
      <name val="Arial"/>
      <family val="2"/>
    </font>
    <font>
      <b/>
      <sz val="10"/>
      <color rgb="FFD9D9D9"/>
      <name val="Arial"/>
      <family val="2"/>
    </font>
    <font>
      <b/>
      <sz val="1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.5"/>
      <name val="Calibri"/>
      <family val="2"/>
    </font>
    <font>
      <b/>
      <u/>
      <sz val="10"/>
      <color rgb="FFC00000"/>
      <name val="Calibri"/>
      <family val="2"/>
    </font>
    <font>
      <b/>
      <sz val="8"/>
      <color theme="0" tint="-0.14999847407452621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b/>
      <u/>
      <sz val="10"/>
      <color theme="0" tint="-0.14999847407452621"/>
      <name val="Calibri"/>
      <family val="2"/>
      <scheme val="minor"/>
    </font>
    <font>
      <sz val="6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rgb="FFCCFF33"/>
        <bgColor rgb="FF000000"/>
      </patternFill>
    </fill>
    <fill>
      <patternFill patternType="solid">
        <fgColor rgb="FF3366FF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9" fontId="1" fillId="0" borderId="0"/>
  </cellStyleXfs>
  <cellXfs count="775">
    <xf numFmtId="0" fontId="0" fillId="0" borderId="0" xfId="0"/>
    <xf numFmtId="0" fontId="0" fillId="0" borderId="1" xfId="0" applyBorder="1"/>
    <xf numFmtId="2" fontId="0" fillId="0" borderId="0" xfId="0" applyNumberFormat="1" applyBorder="1" applyAlignment="1">
      <alignment horizontal="right"/>
    </xf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 applyAlignment="1">
      <alignment horizontal="right"/>
    </xf>
    <xf numFmtId="0" fontId="0" fillId="0" borderId="7" xfId="0" applyFill="1" applyBorder="1"/>
    <xf numFmtId="0" fontId="0" fillId="0" borderId="8" xfId="0" applyBorder="1"/>
    <xf numFmtId="164" fontId="0" fillId="0" borderId="9" xfId="0" applyNumberFormat="1" applyFill="1" applyBorder="1" applyAlignment="1">
      <alignment horizontal="right"/>
    </xf>
    <xf numFmtId="0" fontId="0" fillId="0" borderId="1" xfId="0" applyFill="1" applyBorder="1"/>
    <xf numFmtId="0" fontId="0" fillId="2" borderId="11" xfId="0" applyFill="1" applyBorder="1"/>
    <xf numFmtId="0" fontId="0" fillId="0" borderId="7" xfId="0" applyBorder="1"/>
    <xf numFmtId="0" fontId="0" fillId="0" borderId="4" xfId="0" applyFill="1" applyBorder="1"/>
    <xf numFmtId="0" fontId="0" fillId="2" borderId="3" xfId="0" applyFill="1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 applyAlignment="1">
      <alignment horizontal="center"/>
    </xf>
    <xf numFmtId="165" fontId="0" fillId="0" borderId="6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5" fontId="0" fillId="0" borderId="9" xfId="0" applyNumberFormat="1" applyBorder="1"/>
    <xf numFmtId="167" fontId="0" fillId="0" borderId="9" xfId="0" applyNumberFormat="1" applyFill="1" applyBorder="1" applyAlignment="1">
      <alignment horizontal="right"/>
    </xf>
    <xf numFmtId="167" fontId="0" fillId="0" borderId="9" xfId="0" applyNumberFormat="1" applyBorder="1"/>
    <xf numFmtId="165" fontId="0" fillId="0" borderId="0" xfId="0" applyNumberFormat="1" applyBorder="1"/>
    <xf numFmtId="165" fontId="0" fillId="0" borderId="6" xfId="0" applyNumberFormat="1" applyBorder="1"/>
    <xf numFmtId="0" fontId="0" fillId="2" borderId="10" xfId="0" applyFill="1" applyBorder="1"/>
    <xf numFmtId="0" fontId="0" fillId="2" borderId="13" xfId="0" applyFill="1" applyBorder="1"/>
    <xf numFmtId="0" fontId="0" fillId="0" borderId="29" xfId="0" applyBorder="1"/>
    <xf numFmtId="2" fontId="0" fillId="0" borderId="30" xfId="0" applyNumberFormat="1" applyBorder="1" applyAlignment="1">
      <alignment horizontal="right"/>
    </xf>
    <xf numFmtId="165" fontId="0" fillId="0" borderId="30" xfId="0" applyNumberFormat="1" applyBorder="1" applyAlignment="1">
      <alignment horizontal="right"/>
    </xf>
    <xf numFmtId="165" fontId="0" fillId="0" borderId="30" xfId="0" applyNumberFormat="1" applyBorder="1"/>
    <xf numFmtId="0" fontId="2" fillId="3" borderId="32" xfId="0" applyFont="1" applyFill="1" applyBorder="1" applyAlignment="1">
      <alignment horizontal="center"/>
    </xf>
    <xf numFmtId="0" fontId="0" fillId="0" borderId="0" xfId="0" applyFill="1" applyBorder="1"/>
    <xf numFmtId="165" fontId="4" fillId="0" borderId="30" xfId="0" applyNumberFormat="1" applyFont="1" applyFill="1" applyBorder="1"/>
    <xf numFmtId="165" fontId="4" fillId="0" borderId="2" xfId="0" applyNumberFormat="1" applyFont="1" applyBorder="1"/>
    <xf numFmtId="167" fontId="4" fillId="0" borderId="9" xfId="0" applyNumberFormat="1" applyFont="1" applyBorder="1"/>
    <xf numFmtId="0" fontId="4" fillId="0" borderId="1" xfId="0" applyFont="1" applyFill="1" applyBorder="1"/>
    <xf numFmtId="0" fontId="0" fillId="0" borderId="1" xfId="0" applyBorder="1" applyAlignment="1">
      <alignment wrapText="1"/>
    </xf>
    <xf numFmtId="165" fontId="0" fillId="0" borderId="9" xfId="0" applyNumberFormat="1" applyFill="1" applyBorder="1" applyAlignment="1">
      <alignment horizontal="right"/>
    </xf>
    <xf numFmtId="0" fontId="0" fillId="0" borderId="0" xfId="0" applyFill="1"/>
    <xf numFmtId="0" fontId="0" fillId="0" borderId="9" xfId="0" applyFill="1" applyBorder="1"/>
    <xf numFmtId="165" fontId="0" fillId="0" borderId="0" xfId="0" applyNumberFormat="1" applyFill="1" applyBorder="1" applyAlignment="1">
      <alignment horizontal="right"/>
    </xf>
    <xf numFmtId="0" fontId="0" fillId="0" borderId="2" xfId="0" applyBorder="1"/>
    <xf numFmtId="165" fontId="4" fillId="0" borderId="0" xfId="0" applyNumberFormat="1" applyFont="1" applyFill="1" applyBorder="1"/>
    <xf numFmtId="165" fontId="0" fillId="0" borderId="0" xfId="0" applyNumberFormat="1" applyFill="1" applyBorder="1"/>
    <xf numFmtId="0" fontId="0" fillId="0" borderId="2" xfId="0" applyFill="1" applyBorder="1"/>
    <xf numFmtId="165" fontId="0" fillId="0" borderId="2" xfId="0" applyNumberFormat="1" applyFill="1" applyBorder="1" applyAlignment="1">
      <alignment horizontal="right"/>
    </xf>
    <xf numFmtId="0" fontId="0" fillId="0" borderId="33" xfId="0" applyFill="1" applyBorder="1"/>
    <xf numFmtId="0" fontId="0" fillId="0" borderId="34" xfId="0" applyBorder="1"/>
    <xf numFmtId="165" fontId="0" fillId="0" borderId="2" xfId="0" applyNumberFormat="1" applyBorder="1" applyAlignment="1">
      <alignment horizontal="right"/>
    </xf>
    <xf numFmtId="0" fontId="0" fillId="0" borderId="9" xfId="0" applyBorder="1"/>
    <xf numFmtId="165" fontId="4" fillId="0" borderId="9" xfId="0" applyNumberFormat="1" applyFont="1" applyFill="1" applyBorder="1"/>
    <xf numFmtId="165" fontId="0" fillId="0" borderId="9" xfId="0" applyNumberFormat="1" applyFill="1" applyBorder="1"/>
    <xf numFmtId="0" fontId="4" fillId="0" borderId="35" xfId="0" applyFont="1" applyFill="1" applyBorder="1" applyAlignment="1">
      <alignment horizontal="center"/>
    </xf>
    <xf numFmtId="0" fontId="0" fillId="0" borderId="36" xfId="0" applyBorder="1"/>
    <xf numFmtId="0" fontId="0" fillId="0" borderId="36" xfId="0" applyFill="1" applyBorder="1"/>
    <xf numFmtId="0" fontId="4" fillId="0" borderId="36" xfId="0" applyFont="1" applyFill="1" applyBorder="1"/>
    <xf numFmtId="165" fontId="0" fillId="4" borderId="37" xfId="0" applyNumberFormat="1" applyFill="1" applyBorder="1"/>
    <xf numFmtId="165" fontId="0" fillId="4" borderId="15" xfId="0" applyNumberFormat="1" applyFill="1" applyBorder="1"/>
    <xf numFmtId="167" fontId="0" fillId="4" borderId="15" xfId="0" applyNumberFormat="1" applyFill="1" applyBorder="1"/>
    <xf numFmtId="165" fontId="14" fillId="0" borderId="2" xfId="0" applyNumberFormat="1" applyFont="1" applyFill="1" applyBorder="1"/>
    <xf numFmtId="0" fontId="0" fillId="2" borderId="3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5" borderId="20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165" fontId="0" fillId="4" borderId="39" xfId="0" applyNumberFormat="1" applyFill="1" applyBorder="1"/>
    <xf numFmtId="0" fontId="0" fillId="0" borderId="39" xfId="0" applyBorder="1"/>
    <xf numFmtId="167" fontId="0" fillId="0" borderId="39" xfId="0" applyNumberFormat="1" applyBorder="1"/>
    <xf numFmtId="0" fontId="11" fillId="5" borderId="38" xfId="0" applyFont="1" applyFill="1" applyBorder="1" applyAlignment="1">
      <alignment horizontal="center"/>
    </xf>
    <xf numFmtId="165" fontId="0" fillId="0" borderId="6" xfId="0" applyNumberFormat="1" applyFill="1" applyBorder="1" applyAlignment="1">
      <alignment horizontal="right"/>
    </xf>
    <xf numFmtId="0" fontId="1" fillId="0" borderId="1" xfId="0" applyFont="1" applyFill="1" applyBorder="1"/>
    <xf numFmtId="0" fontId="1" fillId="0" borderId="1" xfId="0" applyFont="1" applyBorder="1"/>
    <xf numFmtId="0" fontId="1" fillId="0" borderId="4" xfId="0" applyFont="1" applyFill="1" applyBorder="1"/>
    <xf numFmtId="0" fontId="0" fillId="2" borderId="13" xfId="0" applyFill="1" applyBorder="1" applyAlignment="1"/>
    <xf numFmtId="164" fontId="1" fillId="15" borderId="15" xfId="1" applyNumberFormat="1" applyFont="1" applyFill="1" applyBorder="1" applyAlignment="1">
      <alignment horizontal="center"/>
    </xf>
    <xf numFmtId="0" fontId="1" fillId="15" borderId="16" xfId="1" applyFont="1" applyFill="1" applyBorder="1" applyAlignment="1">
      <alignment horizontal="center"/>
    </xf>
    <xf numFmtId="164" fontId="1" fillId="15" borderId="19" xfId="0" applyNumberFormat="1" applyFont="1" applyFill="1" applyBorder="1" applyAlignment="1">
      <alignment horizontal="center"/>
    </xf>
    <xf numFmtId="0" fontId="1" fillId="15" borderId="17" xfId="1" applyFont="1" applyFill="1" applyBorder="1" applyAlignment="1">
      <alignment horizontal="right"/>
    </xf>
    <xf numFmtId="164" fontId="1" fillId="15" borderId="18" xfId="1" applyNumberFormat="1" applyFont="1" applyFill="1" applyBorder="1" applyAlignment="1">
      <alignment horizontal="center"/>
    </xf>
    <xf numFmtId="164" fontId="1" fillId="15" borderId="20" xfId="0" applyNumberFormat="1" applyFont="1" applyFill="1" applyBorder="1" applyAlignment="1">
      <alignment horizontal="center"/>
    </xf>
    <xf numFmtId="0" fontId="0" fillId="15" borderId="16" xfId="1" applyFont="1" applyFill="1" applyBorder="1" applyAlignment="1">
      <alignment horizontal="center"/>
    </xf>
    <xf numFmtId="0" fontId="1" fillId="15" borderId="17" xfId="1" applyFont="1" applyFill="1" applyBorder="1" applyAlignment="1">
      <alignment horizontal="center"/>
    </xf>
    <xf numFmtId="165" fontId="0" fillId="15" borderId="17" xfId="0" applyNumberFormat="1" applyFill="1" applyBorder="1" applyAlignment="1">
      <alignment horizontal="right"/>
    </xf>
    <xf numFmtId="164" fontId="0" fillId="15" borderId="18" xfId="0" applyNumberFormat="1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165" fontId="1" fillId="15" borderId="16" xfId="1" applyNumberFormat="1" applyFont="1" applyFill="1" applyBorder="1" applyAlignment="1">
      <alignment horizontal="center"/>
    </xf>
    <xf numFmtId="164" fontId="1" fillId="15" borderId="24" xfId="1" applyNumberFormat="1" applyFont="1" applyFill="1" applyBorder="1" applyAlignment="1">
      <alignment horizontal="center"/>
    </xf>
    <xf numFmtId="164" fontId="1" fillId="15" borderId="26" xfId="0" applyNumberFormat="1" applyFont="1" applyFill="1" applyBorder="1" applyAlignment="1">
      <alignment horizontal="center"/>
    </xf>
    <xf numFmtId="0" fontId="2" fillId="11" borderId="28" xfId="0" applyFont="1" applyFill="1" applyBorder="1" applyAlignment="1">
      <alignment horizontal="center"/>
    </xf>
    <xf numFmtId="0" fontId="2" fillId="11" borderId="24" xfId="0" applyFont="1" applyFill="1" applyBorder="1" applyAlignment="1">
      <alignment horizontal="center"/>
    </xf>
    <xf numFmtId="0" fontId="2" fillId="11" borderId="26" xfId="0" applyFont="1" applyFill="1" applyBorder="1" applyAlignment="1">
      <alignment horizontal="center"/>
    </xf>
    <xf numFmtId="0" fontId="2" fillId="11" borderId="1" xfId="0" applyFont="1" applyFill="1" applyBorder="1"/>
    <xf numFmtId="165" fontId="2" fillId="11" borderId="9" xfId="0" applyNumberFormat="1" applyFont="1" applyFill="1" applyBorder="1"/>
    <xf numFmtId="165" fontId="2" fillId="11" borderId="30" xfId="0" applyNumberFormat="1" applyFont="1" applyFill="1" applyBorder="1"/>
    <xf numFmtId="165" fontId="2" fillId="11" borderId="6" xfId="0" applyNumberFormat="1" applyFont="1" applyFill="1" applyBorder="1"/>
    <xf numFmtId="165" fontId="2" fillId="11" borderId="21" xfId="0" applyNumberFormat="1" applyFont="1" applyFill="1" applyBorder="1"/>
    <xf numFmtId="0" fontId="2" fillId="11" borderId="27" xfId="0" applyFont="1" applyFill="1" applyBorder="1" applyAlignment="1">
      <alignment horizontal="center"/>
    </xf>
    <xf numFmtId="0" fontId="2" fillId="11" borderId="25" xfId="0" applyFont="1" applyFill="1" applyBorder="1" applyAlignment="1">
      <alignment horizontal="center"/>
    </xf>
    <xf numFmtId="0" fontId="2" fillId="11" borderId="36" xfId="0" applyFont="1" applyFill="1" applyBorder="1"/>
    <xf numFmtId="165" fontId="2" fillId="11" borderId="0" xfId="0" applyNumberFormat="1" applyFont="1" applyFill="1" applyBorder="1"/>
    <xf numFmtId="165" fontId="2" fillId="11" borderId="2" xfId="0" applyNumberFormat="1" applyFont="1" applyFill="1" applyBorder="1"/>
    <xf numFmtId="165" fontId="2" fillId="11" borderId="7" xfId="0" applyNumberFormat="1" applyFont="1" applyFill="1" applyBorder="1"/>
    <xf numFmtId="167" fontId="2" fillId="11" borderId="9" xfId="0" applyNumberFormat="1" applyFont="1" applyFill="1" applyBorder="1"/>
    <xf numFmtId="165" fontId="0" fillId="0" borderId="7" xfId="0" applyNumberFormat="1" applyBorder="1"/>
    <xf numFmtId="0" fontId="1" fillId="0" borderId="45" xfId="0" applyFont="1" applyBorder="1"/>
    <xf numFmtId="0" fontId="2" fillId="11" borderId="46" xfId="0" applyFont="1" applyFill="1" applyBorder="1" applyAlignment="1">
      <alignment horizontal="center"/>
    </xf>
    <xf numFmtId="165" fontId="2" fillId="11" borderId="39" xfId="0" applyNumberFormat="1" applyFont="1" applyFill="1" applyBorder="1"/>
    <xf numFmtId="0" fontId="0" fillId="2" borderId="28" xfId="0" applyFill="1" applyBorder="1"/>
    <xf numFmtId="0" fontId="0" fillId="5" borderId="26" xfId="0" applyFill="1" applyBorder="1" applyAlignment="1">
      <alignment horizontal="center"/>
    </xf>
    <xf numFmtId="0" fontId="0" fillId="0" borderId="16" xfId="0" applyFill="1" applyBorder="1"/>
    <xf numFmtId="0" fontId="0" fillId="2" borderId="16" xfId="0" applyFill="1" applyBorder="1"/>
    <xf numFmtId="0" fontId="0" fillId="2" borderId="17" xfId="0" applyFill="1" applyBorder="1"/>
    <xf numFmtId="0" fontId="0" fillId="16" borderId="19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1" fillId="2" borderId="4" xfId="0" applyFont="1" applyFill="1" applyBorder="1"/>
    <xf numFmtId="165" fontId="0" fillId="0" borderId="5" xfId="0" applyNumberFormat="1" applyBorder="1" applyAlignment="1">
      <alignment horizontal="right"/>
    </xf>
    <xf numFmtId="0" fontId="2" fillId="11" borderId="47" xfId="0" applyFont="1" applyFill="1" applyBorder="1"/>
    <xf numFmtId="165" fontId="2" fillId="11" borderId="49" xfId="0" applyNumberFormat="1" applyFont="1" applyFill="1" applyBorder="1"/>
    <xf numFmtId="0" fontId="0" fillId="5" borderId="50" xfId="0" applyFill="1" applyBorder="1" applyAlignment="1">
      <alignment horizontal="center"/>
    </xf>
    <xf numFmtId="0" fontId="0" fillId="5" borderId="49" xfId="0" applyFill="1" applyBorder="1" applyAlignment="1">
      <alignment horizontal="center"/>
    </xf>
    <xf numFmtId="0" fontId="0" fillId="11" borderId="49" xfId="0" applyFill="1" applyBorder="1" applyAlignment="1">
      <alignment horizontal="center"/>
    </xf>
    <xf numFmtId="1" fontId="0" fillId="15" borderId="43" xfId="0" applyNumberFormat="1" applyFill="1" applyBorder="1"/>
    <xf numFmtId="0" fontId="0" fillId="15" borderId="52" xfId="0" applyFill="1" applyBorder="1" applyAlignment="1">
      <alignment horizontal="center"/>
    </xf>
    <xf numFmtId="1" fontId="0" fillId="15" borderId="53" xfId="0" applyNumberFormat="1" applyFill="1" applyBorder="1"/>
    <xf numFmtId="0" fontId="1" fillId="15" borderId="54" xfId="0" applyFont="1" applyFill="1" applyBorder="1" applyAlignment="1">
      <alignment horizontal="center"/>
    </xf>
    <xf numFmtId="0" fontId="0" fillId="15" borderId="38" xfId="0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165" fontId="0" fillId="0" borderId="39" xfId="0" applyNumberFormat="1" applyBorder="1"/>
    <xf numFmtId="165" fontId="0" fillId="17" borderId="15" xfId="0" applyNumberFormat="1" applyFill="1" applyBorder="1"/>
    <xf numFmtId="0" fontId="0" fillId="16" borderId="23" xfId="0" applyFill="1" applyBorder="1" applyAlignment="1">
      <alignment horizontal="center"/>
    </xf>
    <xf numFmtId="165" fontId="0" fillId="15" borderId="17" xfId="0" applyNumberFormat="1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0" fontId="23" fillId="18" borderId="0" xfId="0" applyFont="1" applyFill="1"/>
    <xf numFmtId="0" fontId="23" fillId="18" borderId="0" xfId="0" applyFont="1" applyFill="1" applyAlignment="1">
      <alignment horizontal="center"/>
    </xf>
    <xf numFmtId="169" fontId="24" fillId="18" borderId="43" xfId="2" applyFont="1" applyFill="1" applyBorder="1" applyAlignment="1">
      <alignment horizontal="center"/>
    </xf>
    <xf numFmtId="169" fontId="25" fillId="18" borderId="0" xfId="2" applyFont="1" applyFill="1" applyBorder="1" applyAlignment="1">
      <alignment vertical="center"/>
    </xf>
    <xf numFmtId="1" fontId="25" fillId="18" borderId="0" xfId="2" applyNumberFormat="1" applyFont="1" applyFill="1" applyBorder="1" applyAlignment="1">
      <alignment horizontal="center" vertical="center"/>
    </xf>
    <xf numFmtId="0" fontId="25" fillId="18" borderId="0" xfId="0" applyFont="1" applyFill="1" applyBorder="1" applyAlignment="1">
      <alignment horizontal="center"/>
    </xf>
    <xf numFmtId="1" fontId="25" fillId="16" borderId="15" xfId="2" applyNumberFormat="1" applyFont="1" applyFill="1" applyBorder="1" applyAlignment="1">
      <alignment horizontal="center" vertical="center"/>
    </xf>
    <xf numFmtId="169" fontId="25" fillId="18" borderId="0" xfId="2" applyFont="1" applyFill="1" applyBorder="1" applyAlignment="1">
      <alignment horizontal="center" vertical="center"/>
    </xf>
    <xf numFmtId="0" fontId="25" fillId="18" borderId="0" xfId="0" applyFont="1" applyFill="1" applyBorder="1"/>
    <xf numFmtId="164" fontId="25" fillId="18" borderId="0" xfId="0" applyNumberFormat="1" applyFont="1" applyFill="1" applyBorder="1" applyAlignment="1">
      <alignment horizontal="right"/>
    </xf>
    <xf numFmtId="0" fontId="0" fillId="18" borderId="12" xfId="0" applyFill="1" applyBorder="1"/>
    <xf numFmtId="0" fontId="0" fillId="18" borderId="2" xfId="0" applyFill="1" applyBorder="1"/>
    <xf numFmtId="0" fontId="16" fillId="18" borderId="2" xfId="0" applyFont="1" applyFill="1" applyBorder="1"/>
    <xf numFmtId="0" fontId="0" fillId="18" borderId="0" xfId="0" applyFill="1" applyBorder="1"/>
    <xf numFmtId="0" fontId="8" fillId="18" borderId="0" xfId="0" applyFont="1" applyFill="1" applyBorder="1"/>
    <xf numFmtId="0" fontId="0" fillId="18" borderId="0" xfId="0" applyFill="1" applyBorder="1" applyAlignment="1"/>
    <xf numFmtId="0" fontId="1" fillId="18" borderId="0" xfId="0" applyFont="1" applyFill="1" applyBorder="1"/>
    <xf numFmtId="0" fontId="16" fillId="18" borderId="0" xfId="0" applyFont="1" applyFill="1" applyBorder="1"/>
    <xf numFmtId="0" fontId="0" fillId="18" borderId="0" xfId="0" applyFill="1"/>
    <xf numFmtId="0" fontId="16" fillId="18" borderId="0" xfId="0" applyFont="1" applyFill="1"/>
    <xf numFmtId="0" fontId="16" fillId="18" borderId="13" xfId="0" applyFont="1" applyFill="1" applyBorder="1"/>
    <xf numFmtId="164" fontId="1" fillId="18" borderId="0" xfId="1" applyNumberFormat="1" applyFont="1" applyFill="1" applyBorder="1" applyAlignment="1">
      <alignment horizontal="center"/>
    </xf>
    <xf numFmtId="164" fontId="1" fillId="18" borderId="0" xfId="0" applyNumberFormat="1" applyFont="1" applyFill="1" applyBorder="1" applyAlignment="1">
      <alignment horizontal="center"/>
    </xf>
    <xf numFmtId="0" fontId="15" fillId="18" borderId="0" xfId="0" applyFont="1" applyFill="1" applyBorder="1"/>
    <xf numFmtId="0" fontId="2" fillId="18" borderId="0" xfId="0" applyFont="1" applyFill="1" applyBorder="1" applyAlignment="1"/>
    <xf numFmtId="0" fontId="2" fillId="18" borderId="0" xfId="0" applyFont="1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6" fillId="18" borderId="0" xfId="0" applyFont="1" applyFill="1" applyBorder="1"/>
    <xf numFmtId="2" fontId="11" fillId="18" borderId="0" xfId="0" applyNumberFormat="1" applyFont="1" applyFill="1" applyBorder="1" applyAlignment="1">
      <alignment horizontal="right"/>
    </xf>
    <xf numFmtId="2" fontId="1" fillId="18" borderId="0" xfId="0" applyNumberFormat="1" applyFont="1" applyFill="1" applyBorder="1" applyAlignment="1">
      <alignment horizontal="right"/>
    </xf>
    <xf numFmtId="168" fontId="26" fillId="18" borderId="0" xfId="0" applyNumberFormat="1" applyFont="1" applyFill="1"/>
    <xf numFmtId="0" fontId="27" fillId="18" borderId="2" xfId="0" applyFont="1" applyFill="1" applyBorder="1"/>
    <xf numFmtId="168" fontId="26" fillId="18" borderId="0" xfId="0" applyNumberFormat="1" applyFont="1" applyFill="1" applyBorder="1"/>
    <xf numFmtId="0" fontId="27" fillId="18" borderId="0" xfId="0" applyFont="1" applyFill="1"/>
    <xf numFmtId="0" fontId="0" fillId="18" borderId="10" xfId="0" applyFill="1" applyBorder="1"/>
    <xf numFmtId="0" fontId="0" fillId="18" borderId="11" xfId="0" applyFill="1" applyBorder="1"/>
    <xf numFmtId="0" fontId="0" fillId="18" borderId="1" xfId="0" applyFill="1" applyBorder="1"/>
    <xf numFmtId="0" fontId="1" fillId="18" borderId="0" xfId="1" applyFont="1" applyFill="1" applyBorder="1" applyAlignment="1">
      <alignment horizontal="right"/>
    </xf>
    <xf numFmtId="0" fontId="15" fillId="18" borderId="0" xfId="0" applyFont="1" applyFill="1" applyBorder="1" applyAlignment="1">
      <alignment horizontal="center"/>
    </xf>
    <xf numFmtId="0" fontId="12" fillId="18" borderId="0" xfId="0" applyFont="1" applyFill="1" applyBorder="1" applyAlignment="1">
      <alignment horizontal="center"/>
    </xf>
    <xf numFmtId="0" fontId="2" fillId="18" borderId="0" xfId="0" applyFont="1" applyFill="1" applyBorder="1"/>
    <xf numFmtId="0" fontId="1" fillId="18" borderId="0" xfId="0" applyFont="1" applyFill="1" applyBorder="1" applyAlignment="1">
      <alignment horizontal="center"/>
    </xf>
    <xf numFmtId="0" fontId="11" fillId="18" borderId="0" xfId="0" applyFont="1" applyFill="1" applyBorder="1"/>
    <xf numFmtId="0" fontId="11" fillId="18" borderId="0" xfId="1" applyFont="1" applyFill="1" applyBorder="1" applyAlignment="1">
      <alignment horizontal="right"/>
    </xf>
    <xf numFmtId="0" fontId="11" fillId="18" borderId="0" xfId="1" applyFont="1" applyFill="1" applyBorder="1"/>
    <xf numFmtId="0" fontId="1" fillId="18" borderId="0" xfId="1" applyFont="1" applyFill="1" applyBorder="1"/>
    <xf numFmtId="0" fontId="0" fillId="18" borderId="14" xfId="0" applyFill="1" applyBorder="1"/>
    <xf numFmtId="0" fontId="3" fillId="18" borderId="13" xfId="0" applyFont="1" applyFill="1" applyBorder="1"/>
    <xf numFmtId="164" fontId="3" fillId="18" borderId="13" xfId="0" applyNumberFormat="1" applyFont="1" applyFill="1" applyBorder="1"/>
    <xf numFmtId="0" fontId="0" fillId="18" borderId="13" xfId="0" applyFill="1" applyBorder="1"/>
    <xf numFmtId="0" fontId="11" fillId="18" borderId="13" xfId="0" applyFont="1" applyFill="1" applyBorder="1"/>
    <xf numFmtId="1" fontId="21" fillId="18" borderId="0" xfId="2" applyNumberFormat="1" applyFont="1" applyFill="1" applyBorder="1" applyAlignment="1">
      <alignment horizontal="center" vertical="center"/>
    </xf>
    <xf numFmtId="169" fontId="21" fillId="18" borderId="0" xfId="2" applyFont="1" applyFill="1" applyBorder="1" applyAlignment="1">
      <alignment horizontal="center"/>
    </xf>
    <xf numFmtId="0" fontId="1" fillId="18" borderId="23" xfId="0" applyFont="1" applyFill="1" applyBorder="1"/>
    <xf numFmtId="0" fontId="18" fillId="18" borderId="0" xfId="0" applyFont="1" applyFill="1" applyBorder="1"/>
    <xf numFmtId="164" fontId="11" fillId="18" borderId="0" xfId="1" applyNumberFormat="1" applyFont="1" applyFill="1" applyBorder="1"/>
    <xf numFmtId="0" fontId="1" fillId="18" borderId="2" xfId="0" applyFont="1" applyFill="1" applyBorder="1"/>
    <xf numFmtId="164" fontId="26" fillId="18" borderId="0" xfId="0" applyNumberFormat="1" applyFont="1" applyFill="1"/>
    <xf numFmtId="164" fontId="26" fillId="18" borderId="0" xfId="0" applyNumberFormat="1" applyFont="1" applyFill="1" applyBorder="1"/>
    <xf numFmtId="164" fontId="24" fillId="11" borderId="15" xfId="2" applyNumberFormat="1" applyFont="1" applyFill="1" applyBorder="1" applyAlignment="1">
      <alignment horizontal="center" vertical="center"/>
    </xf>
    <xf numFmtId="169" fontId="24" fillId="18" borderId="15" xfId="2" applyFont="1" applyFill="1" applyBorder="1" applyAlignment="1">
      <alignment horizontal="center"/>
    </xf>
    <xf numFmtId="0" fontId="27" fillId="18" borderId="0" xfId="0" applyFont="1" applyFill="1" applyBorder="1"/>
    <xf numFmtId="0" fontId="27" fillId="18" borderId="0" xfId="1" applyFont="1" applyFill="1" applyBorder="1" applyAlignment="1">
      <alignment horizontal="right"/>
    </xf>
    <xf numFmtId="0" fontId="27" fillId="18" borderId="0" xfId="1" applyFont="1" applyFill="1" applyBorder="1"/>
    <xf numFmtId="2" fontId="27" fillId="18" borderId="0" xfId="0" applyNumberFormat="1" applyFont="1" applyFill="1" applyBorder="1" applyAlignment="1">
      <alignment horizontal="right"/>
    </xf>
    <xf numFmtId="1" fontId="29" fillId="18" borderId="0" xfId="2" applyNumberFormat="1" applyFont="1" applyFill="1" applyBorder="1" applyAlignment="1">
      <alignment horizontal="center" vertical="center"/>
    </xf>
    <xf numFmtId="0" fontId="27" fillId="18" borderId="0" xfId="0" applyFont="1" applyFill="1" applyBorder="1" applyAlignment="1">
      <alignment horizontal="center"/>
    </xf>
    <xf numFmtId="0" fontId="27" fillId="18" borderId="0" xfId="0" applyFont="1" applyFill="1" applyBorder="1" applyAlignment="1"/>
    <xf numFmtId="0" fontId="28" fillId="18" borderId="0" xfId="0" applyFont="1" applyFill="1" applyBorder="1" applyAlignment="1"/>
    <xf numFmtId="0" fontId="27" fillId="18" borderId="1" xfId="0" applyFont="1" applyFill="1" applyBorder="1"/>
    <xf numFmtId="0" fontId="28" fillId="18" borderId="0" xfId="0" applyFont="1" applyFill="1" applyBorder="1"/>
    <xf numFmtId="0" fontId="27" fillId="18" borderId="10" xfId="0" applyFont="1" applyFill="1" applyBorder="1"/>
    <xf numFmtId="0" fontId="27" fillId="18" borderId="14" xfId="0" applyFont="1" applyFill="1" applyBorder="1"/>
    <xf numFmtId="0" fontId="27" fillId="18" borderId="11" xfId="0" applyFont="1" applyFill="1" applyBorder="1"/>
    <xf numFmtId="0" fontId="27" fillId="18" borderId="12" xfId="0" applyFont="1" applyFill="1" applyBorder="1"/>
    <xf numFmtId="0" fontId="27" fillId="18" borderId="23" xfId="0" applyFont="1" applyFill="1" applyBorder="1"/>
    <xf numFmtId="0" fontId="27" fillId="18" borderId="13" xfId="0" applyFont="1" applyFill="1" applyBorder="1"/>
    <xf numFmtId="0" fontId="28" fillId="18" borderId="0" xfId="0" applyFont="1" applyFill="1" applyBorder="1" applyAlignment="1">
      <alignment horizontal="center"/>
    </xf>
    <xf numFmtId="164" fontId="27" fillId="18" borderId="0" xfId="1" applyNumberFormat="1" applyFont="1" applyFill="1" applyBorder="1" applyAlignment="1">
      <alignment horizontal="center"/>
    </xf>
    <xf numFmtId="164" fontId="27" fillId="18" borderId="0" xfId="0" applyNumberFormat="1" applyFont="1" applyFill="1" applyBorder="1" applyAlignment="1">
      <alignment horizontal="center"/>
    </xf>
    <xf numFmtId="164" fontId="27" fillId="18" borderId="0" xfId="1" applyNumberFormat="1" applyFont="1" applyFill="1" applyBorder="1"/>
    <xf numFmtId="0" fontId="6" fillId="18" borderId="13" xfId="0" applyFont="1" applyFill="1" applyBorder="1"/>
    <xf numFmtId="164" fontId="9" fillId="18" borderId="2" xfId="0" applyNumberFormat="1" applyFont="1" applyFill="1" applyBorder="1"/>
    <xf numFmtId="0" fontId="0" fillId="18" borderId="0" xfId="0" applyNumberFormat="1" applyFill="1" applyBorder="1"/>
    <xf numFmtId="164" fontId="27" fillId="18" borderId="2" xfId="0" applyNumberFormat="1" applyFont="1" applyFill="1" applyBorder="1" applyAlignment="1">
      <alignment horizontal="right"/>
    </xf>
    <xf numFmtId="164" fontId="26" fillId="18" borderId="0" xfId="0" applyNumberFormat="1" applyFont="1" applyFill="1" applyBorder="1" applyAlignment="1">
      <alignment horizontal="right"/>
    </xf>
    <xf numFmtId="164" fontId="26" fillId="18" borderId="0" xfId="1" applyNumberFormat="1" applyFont="1" applyFill="1" applyBorder="1"/>
    <xf numFmtId="0" fontId="15" fillId="18" borderId="2" xfId="0" applyFont="1" applyFill="1" applyBorder="1"/>
    <xf numFmtId="164" fontId="27" fillId="18" borderId="2" xfId="0" applyNumberFormat="1" applyFont="1" applyFill="1" applyBorder="1"/>
    <xf numFmtId="164" fontId="27" fillId="18" borderId="2" xfId="1" applyNumberFormat="1" applyFont="1" applyFill="1" applyBorder="1"/>
    <xf numFmtId="0" fontId="27" fillId="18" borderId="0" xfId="0" applyNumberFormat="1" applyFont="1" applyFill="1" applyBorder="1"/>
    <xf numFmtId="165" fontId="27" fillId="18" borderId="0" xfId="0" applyNumberFormat="1" applyFont="1" applyFill="1" applyBorder="1"/>
    <xf numFmtId="0" fontId="13" fillId="18" borderId="0" xfId="0" applyFont="1" applyFill="1" applyBorder="1"/>
    <xf numFmtId="0" fontId="13" fillId="18" borderId="0" xfId="0" applyFont="1" applyFill="1"/>
    <xf numFmtId="0" fontId="13" fillId="18" borderId="2" xfId="0" applyFont="1" applyFill="1" applyBorder="1"/>
    <xf numFmtId="0" fontId="13" fillId="18" borderId="13" xfId="0" applyFont="1" applyFill="1" applyBorder="1"/>
    <xf numFmtId="0" fontId="13" fillId="18" borderId="23" xfId="0" applyFont="1" applyFill="1" applyBorder="1"/>
    <xf numFmtId="0" fontId="9" fillId="18" borderId="0" xfId="0" applyFont="1" applyFill="1" applyBorder="1"/>
    <xf numFmtId="0" fontId="7" fillId="18" borderId="0" xfId="0" applyFont="1" applyFill="1" applyBorder="1"/>
    <xf numFmtId="0" fontId="6" fillId="18" borderId="1" xfId="0" applyFont="1" applyFill="1" applyBorder="1"/>
    <xf numFmtId="0" fontId="10" fillId="18" borderId="0" xfId="0" applyFont="1" applyFill="1" applyBorder="1"/>
    <xf numFmtId="164" fontId="9" fillId="18" borderId="2" xfId="0" applyNumberFormat="1" applyFont="1" applyFill="1" applyBorder="1" applyAlignment="1">
      <alignment horizontal="right"/>
    </xf>
    <xf numFmtId="0" fontId="2" fillId="18" borderId="2" xfId="0" applyFont="1" applyFill="1" applyBorder="1" applyAlignment="1"/>
    <xf numFmtId="0" fontId="10" fillId="18" borderId="2" xfId="0" applyFont="1" applyFill="1" applyBorder="1"/>
    <xf numFmtId="0" fontId="22" fillId="18" borderId="2" xfId="0" applyFont="1" applyFill="1" applyBorder="1" applyAlignment="1">
      <alignment horizontal="center"/>
    </xf>
    <xf numFmtId="0" fontId="0" fillId="18" borderId="0" xfId="0" applyFill="1" applyBorder="1" applyAlignment="1">
      <alignment horizontal="left" vertical="center"/>
    </xf>
    <xf numFmtId="1" fontId="0" fillId="18" borderId="0" xfId="0" applyNumberFormat="1" applyFill="1" applyBorder="1"/>
    <xf numFmtId="0" fontId="23" fillId="18" borderId="0" xfId="0" applyFont="1" applyFill="1" applyBorder="1"/>
    <xf numFmtId="1" fontId="25" fillId="18" borderId="0" xfId="0" applyNumberFormat="1" applyFont="1" applyFill="1" applyBorder="1" applyAlignment="1">
      <alignment horizontal="center"/>
    </xf>
    <xf numFmtId="0" fontId="0" fillId="18" borderId="23" xfId="0" applyFill="1" applyBorder="1"/>
    <xf numFmtId="0" fontId="27" fillId="18" borderId="0" xfId="1" applyFont="1" applyFill="1" applyBorder="1" applyAlignment="1">
      <alignment horizontal="center"/>
    </xf>
    <xf numFmtId="0" fontId="12" fillId="18" borderId="0" xfId="0" applyFont="1" applyFill="1" applyBorder="1" applyAlignment="1"/>
    <xf numFmtId="2" fontId="0" fillId="0" borderId="9" xfId="0" applyNumberFormat="1" applyBorder="1" applyAlignment="1">
      <alignment horizontal="right"/>
    </xf>
    <xf numFmtId="0" fontId="1" fillId="18" borderId="0" xfId="0" applyFont="1" applyFill="1"/>
    <xf numFmtId="0" fontId="1" fillId="15" borderId="28" xfId="0" applyFont="1" applyFill="1" applyBorder="1"/>
    <xf numFmtId="164" fontId="5" fillId="18" borderId="0" xfId="0" applyNumberFormat="1" applyFont="1" applyFill="1"/>
    <xf numFmtId="164" fontId="1" fillId="18" borderId="2" xfId="1" applyNumberFormat="1" applyFont="1" applyFill="1" applyBorder="1"/>
    <xf numFmtId="164" fontId="1" fillId="18" borderId="2" xfId="0" applyNumberFormat="1" applyFont="1" applyFill="1" applyBorder="1"/>
    <xf numFmtId="164" fontId="1" fillId="18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166" fontId="31" fillId="18" borderId="0" xfId="0" applyNumberFormat="1" applyFont="1" applyFill="1" applyBorder="1"/>
    <xf numFmtId="164" fontId="31" fillId="18" borderId="0" xfId="0" applyNumberFormat="1" applyFont="1" applyFill="1" applyBorder="1"/>
    <xf numFmtId="164" fontId="16" fillId="18" borderId="0" xfId="0" applyNumberFormat="1" applyFont="1" applyFill="1" applyBorder="1" applyAlignment="1">
      <alignment horizontal="center"/>
    </xf>
    <xf numFmtId="0" fontId="34" fillId="15" borderId="17" xfId="0" applyFont="1" applyFill="1" applyBorder="1"/>
    <xf numFmtId="164" fontId="0" fillId="15" borderId="0" xfId="0" applyNumberFormat="1" applyFill="1" applyBorder="1" applyAlignment="1">
      <alignment horizontal="right"/>
    </xf>
    <xf numFmtId="164" fontId="1" fillId="15" borderId="0" xfId="0" applyNumberFormat="1" applyFont="1" applyFill="1" applyBorder="1" applyAlignment="1">
      <alignment horizontal="right"/>
    </xf>
    <xf numFmtId="164" fontId="0" fillId="15" borderId="12" xfId="0" applyNumberFormat="1" applyFill="1" applyBorder="1" applyAlignment="1">
      <alignment horizontal="right"/>
    </xf>
    <xf numFmtId="164" fontId="1" fillId="15" borderId="2" xfId="0" applyNumberFormat="1" applyFont="1" applyFill="1" applyBorder="1" applyAlignment="1">
      <alignment horizontal="center"/>
    </xf>
    <xf numFmtId="0" fontId="1" fillId="15" borderId="27" xfId="0" applyFont="1" applyFill="1" applyBorder="1"/>
    <xf numFmtId="0" fontId="1" fillId="15" borderId="45" xfId="0" applyFont="1" applyFill="1" applyBorder="1"/>
    <xf numFmtId="0" fontId="34" fillId="15" borderId="41" xfId="0" applyFont="1" applyFill="1" applyBorder="1"/>
    <xf numFmtId="164" fontId="0" fillId="15" borderId="11" xfId="0" applyNumberFormat="1" applyFill="1" applyBorder="1" applyAlignment="1">
      <alignment horizontal="right"/>
    </xf>
    <xf numFmtId="165" fontId="0" fillId="15" borderId="15" xfId="0" applyNumberFormat="1" applyFill="1" applyBorder="1" applyAlignment="1">
      <alignment horizontal="right"/>
    </xf>
    <xf numFmtId="165" fontId="1" fillId="15" borderId="15" xfId="0" applyNumberFormat="1" applyFont="1" applyFill="1" applyBorder="1" applyAlignment="1">
      <alignment horizontal="right"/>
    </xf>
    <xf numFmtId="165" fontId="0" fillId="15" borderId="24" xfId="0" applyNumberFormat="1" applyFill="1" applyBorder="1" applyAlignment="1">
      <alignment horizontal="right"/>
    </xf>
    <xf numFmtId="165" fontId="34" fillId="15" borderId="18" xfId="0" applyNumberFormat="1" applyFont="1" applyFill="1" applyBorder="1"/>
    <xf numFmtId="165" fontId="0" fillId="15" borderId="15" xfId="0" applyNumberFormat="1" applyFill="1" applyBorder="1"/>
    <xf numFmtId="165" fontId="0" fillId="15" borderId="24" xfId="0" applyNumberFormat="1" applyFill="1" applyBorder="1"/>
    <xf numFmtId="0" fontId="1" fillId="15" borderId="16" xfId="0" applyFont="1" applyFill="1" applyBorder="1"/>
    <xf numFmtId="1" fontId="21" fillId="15" borderId="0" xfId="2" applyNumberFormat="1" applyFont="1" applyFill="1" applyBorder="1" applyAlignment="1">
      <alignment horizontal="center" vertical="center"/>
    </xf>
    <xf numFmtId="169" fontId="21" fillId="15" borderId="2" xfId="2" applyFont="1" applyFill="1" applyBorder="1" applyAlignment="1">
      <alignment horizontal="center" vertical="center"/>
    </xf>
    <xf numFmtId="164" fontId="0" fillId="15" borderId="2" xfId="0" applyNumberFormat="1" applyFill="1" applyBorder="1" applyAlignment="1">
      <alignment horizontal="right"/>
    </xf>
    <xf numFmtId="164" fontId="27" fillId="15" borderId="0" xfId="0" applyNumberFormat="1" applyFont="1" applyFill="1" applyBorder="1" applyAlignment="1">
      <alignment horizontal="right"/>
    </xf>
    <xf numFmtId="165" fontId="1" fillId="15" borderId="24" xfId="0" applyNumberFormat="1" applyFont="1" applyFill="1" applyBorder="1" applyAlignment="1">
      <alignment horizontal="right"/>
    </xf>
    <xf numFmtId="164" fontId="27" fillId="15" borderId="11" xfId="0" applyNumberFormat="1" applyFont="1" applyFill="1" applyBorder="1" applyAlignment="1">
      <alignment horizontal="right"/>
    </xf>
    <xf numFmtId="164" fontId="27" fillId="15" borderId="12" xfId="0" applyNumberFormat="1" applyFont="1" applyFill="1" applyBorder="1" applyAlignment="1">
      <alignment horizontal="right"/>
    </xf>
    <xf numFmtId="164" fontId="27" fillId="15" borderId="2" xfId="0" applyNumberFormat="1" applyFont="1" applyFill="1" applyBorder="1" applyAlignment="1">
      <alignment horizontal="right"/>
    </xf>
    <xf numFmtId="0" fontId="34" fillId="15" borderId="14" xfId="0" applyFont="1" applyFill="1" applyBorder="1"/>
    <xf numFmtId="165" fontId="34" fillId="15" borderId="21" xfId="0" applyNumberFormat="1" applyFont="1" applyFill="1" applyBorder="1"/>
    <xf numFmtId="0" fontId="0" fillId="15" borderId="0" xfId="0" applyFill="1" applyBorder="1"/>
    <xf numFmtId="0" fontId="0" fillId="15" borderId="11" xfId="0" applyFill="1" applyBorder="1"/>
    <xf numFmtId="0" fontId="0" fillId="15" borderId="12" xfId="0" applyFill="1" applyBorder="1"/>
    <xf numFmtId="0" fontId="0" fillId="15" borderId="2" xfId="0" applyFill="1" applyBorder="1"/>
    <xf numFmtId="0" fontId="27" fillId="15" borderId="11" xfId="0" applyFont="1" applyFill="1" applyBorder="1"/>
    <xf numFmtId="0" fontId="27" fillId="15" borderId="12" xfId="0" applyFont="1" applyFill="1" applyBorder="1"/>
    <xf numFmtId="0" fontId="23" fillId="15" borderId="0" xfId="0" applyFont="1" applyFill="1" applyBorder="1"/>
    <xf numFmtId="0" fontId="23" fillId="15" borderId="2" xfId="0" applyFont="1" applyFill="1" applyBorder="1"/>
    <xf numFmtId="1" fontId="29" fillId="15" borderId="0" xfId="2" applyNumberFormat="1" applyFont="1" applyFill="1" applyBorder="1" applyAlignment="1">
      <alignment horizontal="center" vertical="center"/>
    </xf>
    <xf numFmtId="169" fontId="29" fillId="15" borderId="2" xfId="2" applyFont="1" applyFill="1" applyBorder="1" applyAlignment="1">
      <alignment horizontal="center" vertical="center"/>
    </xf>
    <xf numFmtId="0" fontId="20" fillId="18" borderId="0" xfId="0" applyFont="1" applyFill="1"/>
    <xf numFmtId="169" fontId="24" fillId="18" borderId="37" xfId="2" applyFont="1" applyFill="1" applyBorder="1" applyAlignment="1">
      <alignment horizontal="center" vertical="center"/>
    </xf>
    <xf numFmtId="1" fontId="25" fillId="16" borderId="50" xfId="2" applyNumberFormat="1" applyFont="1" applyFill="1" applyBorder="1" applyAlignment="1">
      <alignment horizontal="center" vertical="center"/>
    </xf>
    <xf numFmtId="0" fontId="39" fillId="18" borderId="0" xfId="0" applyFont="1" applyFill="1" applyAlignment="1">
      <alignment horizontal="center"/>
    </xf>
    <xf numFmtId="0" fontId="39" fillId="18" borderId="0" xfId="0" applyFont="1" applyFill="1" applyBorder="1" applyAlignment="1">
      <alignment horizontal="center"/>
    </xf>
    <xf numFmtId="169" fontId="25" fillId="18" borderId="0" xfId="2" applyFont="1" applyFill="1" applyBorder="1" applyAlignment="1">
      <alignment horizontal="right" vertical="center"/>
    </xf>
    <xf numFmtId="1" fontId="40" fillId="18" borderId="0" xfId="2" applyNumberFormat="1" applyFont="1" applyFill="1" applyBorder="1" applyAlignment="1">
      <alignment horizontal="center" vertical="center"/>
    </xf>
    <xf numFmtId="169" fontId="40" fillId="18" borderId="0" xfId="2" applyFont="1" applyFill="1" applyBorder="1" applyAlignment="1">
      <alignment vertical="center"/>
    </xf>
    <xf numFmtId="0" fontId="21" fillId="18" borderId="0" xfId="0" applyFont="1" applyFill="1" applyAlignment="1">
      <alignment horizontal="center"/>
    </xf>
    <xf numFmtId="0" fontId="23" fillId="18" borderId="0" xfId="0" applyFont="1" applyFill="1" applyBorder="1" applyAlignment="1">
      <alignment horizontal="center"/>
    </xf>
    <xf numFmtId="0" fontId="40" fillId="18" borderId="0" xfId="0" applyFont="1" applyFill="1" applyBorder="1"/>
    <xf numFmtId="169" fontId="40" fillId="18" borderId="0" xfId="2" applyFont="1" applyFill="1" applyBorder="1" applyAlignment="1">
      <alignment horizontal="center" vertical="center"/>
    </xf>
    <xf numFmtId="164" fontId="40" fillId="18" borderId="0" xfId="0" applyNumberFormat="1" applyFont="1" applyFill="1" applyBorder="1" applyAlignment="1">
      <alignment horizontal="right"/>
    </xf>
    <xf numFmtId="164" fontId="40" fillId="18" borderId="0" xfId="0" applyNumberFormat="1" applyFont="1" applyFill="1" applyBorder="1"/>
    <xf numFmtId="169" fontId="24" fillId="18" borderId="0" xfId="2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right"/>
    </xf>
    <xf numFmtId="165" fontId="0" fillId="0" borderId="8" xfId="0" applyNumberFormat="1" applyBorder="1"/>
    <xf numFmtId="2" fontId="1" fillId="15" borderId="15" xfId="1" applyNumberFormat="1" applyFont="1" applyFill="1" applyBorder="1" applyAlignment="1">
      <alignment horizontal="center"/>
    </xf>
    <xf numFmtId="2" fontId="1" fillId="15" borderId="18" xfId="1" applyNumberFormat="1" applyFont="1" applyFill="1" applyBorder="1" applyAlignment="1">
      <alignment horizontal="center"/>
    </xf>
    <xf numFmtId="167" fontId="1" fillId="15" borderId="55" xfId="1" applyNumberFormat="1" applyFont="1" applyFill="1" applyBorder="1" applyAlignment="1">
      <alignment horizontal="center"/>
    </xf>
    <xf numFmtId="2" fontId="1" fillId="15" borderId="39" xfId="1" applyNumberFormat="1" applyFont="1" applyFill="1" applyBorder="1" applyAlignment="1">
      <alignment horizontal="center"/>
    </xf>
    <xf numFmtId="164" fontId="1" fillId="15" borderId="39" xfId="1" applyNumberFormat="1" applyFont="1" applyFill="1" applyBorder="1" applyAlignment="1">
      <alignment horizontal="center"/>
    </xf>
    <xf numFmtId="164" fontId="1" fillId="15" borderId="49" xfId="0" applyNumberFormat="1" applyFont="1" applyFill="1" applyBorder="1" applyAlignment="1">
      <alignment horizontal="center"/>
    </xf>
    <xf numFmtId="165" fontId="1" fillId="15" borderId="28" xfId="1" applyNumberFormat="1" applyFont="1" applyFill="1" applyBorder="1" applyAlignment="1">
      <alignment horizontal="center"/>
    </xf>
    <xf numFmtId="2" fontId="1" fillId="15" borderId="24" xfId="1" applyNumberFormat="1" applyFont="1" applyFill="1" applyBorder="1" applyAlignment="1">
      <alignment horizontal="center"/>
    </xf>
    <xf numFmtId="2" fontId="1" fillId="15" borderId="21" xfId="1" applyNumberFormat="1" applyFont="1" applyFill="1" applyBorder="1" applyAlignment="1">
      <alignment horizontal="center"/>
    </xf>
    <xf numFmtId="0" fontId="1" fillId="15" borderId="55" xfId="1" applyFont="1" applyFill="1" applyBorder="1" applyAlignment="1">
      <alignment horizontal="center"/>
    </xf>
    <xf numFmtId="0" fontId="1" fillId="15" borderId="28" xfId="1" applyFont="1" applyFill="1" applyBorder="1" applyAlignment="1">
      <alignment horizontal="center"/>
    </xf>
    <xf numFmtId="0" fontId="1" fillId="15" borderId="16" xfId="0" applyFont="1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169" fontId="25" fillId="18" borderId="0" xfId="2" applyFont="1" applyFill="1" applyBorder="1" applyAlignment="1">
      <alignment horizontal="right" vertical="center"/>
    </xf>
    <xf numFmtId="0" fontId="1" fillId="15" borderId="28" xfId="0" applyFont="1" applyFill="1" applyBorder="1" applyAlignment="1">
      <alignment horizontal="left" vertical="center"/>
    </xf>
    <xf numFmtId="0" fontId="1" fillId="15" borderId="16" xfId="0" applyFont="1" applyFill="1" applyBorder="1" applyAlignment="1">
      <alignment horizontal="left" vertical="center"/>
    </xf>
    <xf numFmtId="0" fontId="34" fillId="15" borderId="17" xfId="0" applyFont="1" applyFill="1" applyBorder="1" applyAlignment="1">
      <alignment horizontal="left" vertical="center"/>
    </xf>
    <xf numFmtId="165" fontId="0" fillId="18" borderId="0" xfId="0" applyNumberFormat="1" applyFill="1" applyBorder="1" applyAlignment="1">
      <alignment horizontal="right"/>
    </xf>
    <xf numFmtId="165" fontId="2" fillId="18" borderId="0" xfId="0" applyNumberFormat="1" applyFont="1" applyFill="1" applyBorder="1"/>
    <xf numFmtId="0" fontId="1" fillId="0" borderId="36" xfId="0" applyFont="1" applyBorder="1"/>
    <xf numFmtId="0" fontId="26" fillId="18" borderId="0" xfId="0" applyFont="1" applyFill="1" applyBorder="1"/>
    <xf numFmtId="0" fontId="0" fillId="0" borderId="0" xfId="0" applyBorder="1"/>
    <xf numFmtId="165" fontId="2" fillId="15" borderId="0" xfId="0" applyNumberFormat="1" applyFont="1" applyFill="1" applyBorder="1"/>
    <xf numFmtId="0" fontId="1" fillId="15" borderId="55" xfId="0" applyFont="1" applyFill="1" applyBorder="1"/>
    <xf numFmtId="165" fontId="0" fillId="15" borderId="39" xfId="0" applyNumberFormat="1" applyFill="1" applyBorder="1"/>
    <xf numFmtId="165" fontId="2" fillId="15" borderId="2" xfId="0" applyNumberFormat="1" applyFont="1" applyFill="1" applyBorder="1"/>
    <xf numFmtId="0" fontId="2" fillId="11" borderId="61" xfId="0" applyFont="1" applyFill="1" applyBorder="1"/>
    <xf numFmtId="165" fontId="2" fillId="11" borderId="13" xfId="0" applyNumberFormat="1" applyFont="1" applyFill="1" applyBorder="1"/>
    <xf numFmtId="165" fontId="2" fillId="11" borderId="23" xfId="0" applyNumberFormat="1" applyFont="1" applyFill="1" applyBorder="1"/>
    <xf numFmtId="0" fontId="2" fillId="14" borderId="16" xfId="0" applyFont="1" applyFill="1" applyBorder="1" applyAlignment="1">
      <alignment horizontal="center"/>
    </xf>
    <xf numFmtId="0" fontId="42" fillId="18" borderId="0" xfId="0" applyFont="1" applyFill="1" applyBorder="1" applyAlignment="1">
      <alignment horizontal="center"/>
    </xf>
    <xf numFmtId="165" fontId="0" fillId="0" borderId="2" xfId="0" applyNumberFormat="1" applyBorder="1"/>
    <xf numFmtId="0" fontId="2" fillId="11" borderId="40" xfId="0" applyFont="1" applyFill="1" applyBorder="1" applyAlignment="1">
      <alignment horizontal="center"/>
    </xf>
    <xf numFmtId="0" fontId="27" fillId="18" borderId="0" xfId="0" applyFont="1" applyFill="1" applyAlignment="1">
      <alignment horizontal="center"/>
    </xf>
    <xf numFmtId="0" fontId="26" fillId="18" borderId="0" xfId="0" applyFont="1" applyFill="1"/>
    <xf numFmtId="0" fontId="32" fillId="18" borderId="0" xfId="0" applyFont="1" applyFill="1"/>
    <xf numFmtId="166" fontId="0" fillId="0" borderId="9" xfId="0" applyNumberFormat="1" applyFill="1" applyBorder="1" applyAlignment="1">
      <alignment horizontal="right"/>
    </xf>
    <xf numFmtId="165" fontId="2" fillId="11" borderId="62" xfId="0" applyNumberFormat="1" applyFont="1" applyFill="1" applyBorder="1"/>
    <xf numFmtId="165" fontId="0" fillId="17" borderId="9" xfId="0" applyNumberFormat="1" applyFill="1" applyBorder="1"/>
    <xf numFmtId="0" fontId="2" fillId="11" borderId="63" xfId="0" applyFont="1" applyFill="1" applyBorder="1" applyAlignment="1">
      <alignment horizontal="center"/>
    </xf>
    <xf numFmtId="0" fontId="0" fillId="15" borderId="64" xfId="0" applyFill="1" applyBorder="1" applyAlignment="1">
      <alignment horizontal="center"/>
    </xf>
    <xf numFmtId="1" fontId="0" fillId="15" borderId="48" xfId="0" applyNumberFormat="1" applyFill="1" applyBorder="1"/>
    <xf numFmtId="165" fontId="15" fillId="0" borderId="39" xfId="0" applyNumberFormat="1" applyFont="1" applyBorder="1"/>
    <xf numFmtId="165" fontId="0" fillId="0" borderId="62" xfId="0" applyNumberFormat="1" applyBorder="1"/>
    <xf numFmtId="0" fontId="0" fillId="0" borderId="47" xfId="0" applyFill="1" applyBorder="1"/>
    <xf numFmtId="165" fontId="0" fillId="0" borderId="49" xfId="0" applyNumberFormat="1" applyBorder="1" applyAlignment="1">
      <alignment horizontal="right"/>
    </xf>
    <xf numFmtId="169" fontId="25" fillId="18" borderId="0" xfId="2" applyFont="1" applyFill="1" applyBorder="1" applyAlignment="1">
      <alignment horizontal="right" vertical="center"/>
    </xf>
    <xf numFmtId="0" fontId="28" fillId="18" borderId="0" xfId="0" applyFont="1" applyFill="1" applyBorder="1" applyAlignment="1">
      <alignment horizontal="center"/>
    </xf>
    <xf numFmtId="0" fontId="12" fillId="18" borderId="0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0" fillId="18" borderId="0" xfId="0" applyFill="1" applyBorder="1" applyAlignment="1">
      <alignment horizontal="left"/>
    </xf>
    <xf numFmtId="0" fontId="1" fillId="18" borderId="0" xfId="1" applyFont="1" applyFill="1" applyBorder="1" applyAlignment="1">
      <alignment horizontal="center"/>
    </xf>
    <xf numFmtId="2" fontId="1" fillId="18" borderId="0" xfId="1" applyNumberFormat="1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14" xfId="0" applyFont="1" applyFill="1" applyBorder="1"/>
    <xf numFmtId="0" fontId="1" fillId="0" borderId="4" xfId="0" applyFont="1" applyBorder="1"/>
    <xf numFmtId="0" fontId="0" fillId="16" borderId="26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21" fillId="18" borderId="0" xfId="0" applyFont="1" applyFill="1" applyBorder="1" applyAlignment="1">
      <alignment horizontal="center"/>
    </xf>
    <xf numFmtId="169" fontId="25" fillId="18" borderId="13" xfId="2" applyFont="1" applyFill="1" applyBorder="1" applyAlignment="1">
      <alignment vertical="center"/>
    </xf>
    <xf numFmtId="1" fontId="25" fillId="18" borderId="13" xfId="2" applyNumberFormat="1" applyFont="1" applyFill="1" applyBorder="1" applyAlignment="1">
      <alignment horizontal="center" vertical="center"/>
    </xf>
    <xf numFmtId="0" fontId="36" fillId="18" borderId="13" xfId="0" applyFont="1" applyFill="1" applyBorder="1" applyAlignment="1">
      <alignment horizontal="center"/>
    </xf>
    <xf numFmtId="0" fontId="24" fillId="18" borderId="13" xfId="0" applyFont="1" applyFill="1" applyBorder="1" applyAlignment="1">
      <alignment horizontal="center"/>
    </xf>
    <xf numFmtId="164" fontId="24" fillId="18" borderId="13" xfId="2" applyNumberFormat="1" applyFont="1" applyFill="1" applyBorder="1" applyAlignment="1">
      <alignment horizontal="center" vertical="center"/>
    </xf>
    <xf numFmtId="169" fontId="24" fillId="18" borderId="13" xfId="2" applyFont="1" applyFill="1" applyBorder="1" applyAlignment="1">
      <alignment horizontal="center"/>
    </xf>
    <xf numFmtId="0" fontId="25" fillId="18" borderId="13" xfId="0" applyFont="1" applyFill="1" applyBorder="1" applyAlignment="1">
      <alignment horizontal="center"/>
    </xf>
    <xf numFmtId="0" fontId="44" fillId="18" borderId="0" xfId="0" applyFont="1" applyFill="1" applyBorder="1"/>
    <xf numFmtId="0" fontId="44" fillId="18" borderId="2" xfId="0" applyFont="1" applyFill="1" applyBorder="1"/>
    <xf numFmtId="0" fontId="44" fillId="18" borderId="0" xfId="0" applyFont="1" applyFill="1"/>
    <xf numFmtId="164" fontId="47" fillId="18" borderId="0" xfId="0" applyNumberFormat="1" applyFont="1" applyFill="1"/>
    <xf numFmtId="0" fontId="48" fillId="18" borderId="0" xfId="0" applyFont="1" applyFill="1" applyBorder="1"/>
    <xf numFmtId="1" fontId="48" fillId="18" borderId="0" xfId="0" applyNumberFormat="1" applyFont="1" applyFill="1" applyBorder="1" applyAlignment="1">
      <alignment horizontal="center"/>
    </xf>
    <xf numFmtId="0" fontId="48" fillId="18" borderId="0" xfId="0" applyFont="1" applyFill="1" applyBorder="1" applyAlignment="1">
      <alignment horizontal="center"/>
    </xf>
    <xf numFmtId="0" fontId="45" fillId="18" borderId="0" xfId="0" applyFont="1" applyFill="1"/>
    <xf numFmtId="0" fontId="44" fillId="18" borderId="13" xfId="0" applyFont="1" applyFill="1" applyBorder="1"/>
    <xf numFmtId="0" fontId="44" fillId="18" borderId="23" xfId="0" applyFont="1" applyFill="1" applyBorder="1"/>
    <xf numFmtId="0" fontId="1" fillId="5" borderId="38" xfId="0" applyFont="1" applyFill="1" applyBorder="1" applyAlignment="1">
      <alignment horizontal="center"/>
    </xf>
    <xf numFmtId="164" fontId="27" fillId="18" borderId="0" xfId="0" applyNumberFormat="1" applyFont="1" applyFill="1" applyBorder="1"/>
    <xf numFmtId="169" fontId="25" fillId="18" borderId="0" xfId="2" applyFont="1" applyFill="1" applyBorder="1" applyAlignment="1">
      <alignment horizontal="right" vertical="center"/>
    </xf>
    <xf numFmtId="0" fontId="28" fillId="18" borderId="0" xfId="0" applyFont="1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0" fontId="43" fillId="2" borderId="4" xfId="0" applyFont="1" applyFill="1" applyBorder="1"/>
    <xf numFmtId="0" fontId="43" fillId="0" borderId="4" xfId="0" applyFont="1" applyFill="1" applyBorder="1"/>
    <xf numFmtId="0" fontId="49" fillId="18" borderId="0" xfId="0" applyFont="1" applyFill="1" applyBorder="1"/>
    <xf numFmtId="0" fontId="50" fillId="18" borderId="0" xfId="0" applyFont="1" applyFill="1"/>
    <xf numFmtId="0" fontId="50" fillId="18" borderId="0" xfId="0" applyFont="1" applyFill="1" applyBorder="1"/>
    <xf numFmtId="165" fontId="26" fillId="18" borderId="0" xfId="0" applyNumberFormat="1" applyFont="1" applyFill="1"/>
    <xf numFmtId="0" fontId="1" fillId="0" borderId="17" xfId="0" applyFont="1" applyFill="1" applyBorder="1"/>
    <xf numFmtId="0" fontId="51" fillId="20" borderId="10" xfId="0" applyFont="1" applyFill="1" applyBorder="1"/>
    <xf numFmtId="0" fontId="51" fillId="20" borderId="11" xfId="0" applyFont="1" applyFill="1" applyBorder="1"/>
    <xf numFmtId="0" fontId="51" fillId="20" borderId="12" xfId="0" applyFont="1" applyFill="1" applyBorder="1"/>
    <xf numFmtId="0" fontId="51" fillId="20" borderId="1" xfId="0" applyFont="1" applyFill="1" applyBorder="1"/>
    <xf numFmtId="0" fontId="51" fillId="20" borderId="2" xfId="0" applyFont="1" applyFill="1" applyBorder="1"/>
    <xf numFmtId="0" fontId="51" fillId="20" borderId="0" xfId="0" applyFont="1" applyFill="1" applyBorder="1"/>
    <xf numFmtId="0" fontId="1" fillId="22" borderId="4" xfId="0" applyFont="1" applyFill="1" applyBorder="1"/>
    <xf numFmtId="0" fontId="1" fillId="21" borderId="38" xfId="0" applyFont="1" applyFill="1" applyBorder="1" applyAlignment="1">
      <alignment horizontal="center"/>
    </xf>
    <xf numFmtId="0" fontId="51" fillId="20" borderId="0" xfId="0" applyFont="1" applyFill="1" applyBorder="1" applyAlignment="1"/>
    <xf numFmtId="0" fontId="1" fillId="22" borderId="3" xfId="0" applyFont="1" applyFill="1" applyBorder="1" applyAlignment="1">
      <alignment horizontal="center"/>
    </xf>
    <xf numFmtId="0" fontId="1" fillId="24" borderId="55" xfId="1" applyFont="1" applyFill="1" applyBorder="1" applyAlignment="1">
      <alignment horizontal="center"/>
    </xf>
    <xf numFmtId="2" fontId="1" fillId="24" borderId="39" xfId="1" applyNumberFormat="1" applyFont="1" applyFill="1" applyBorder="1" applyAlignment="1">
      <alignment horizontal="center"/>
    </xf>
    <xf numFmtId="164" fontId="1" fillId="24" borderId="39" xfId="1" applyNumberFormat="1" applyFont="1" applyFill="1" applyBorder="1" applyAlignment="1">
      <alignment horizontal="center"/>
    </xf>
    <xf numFmtId="0" fontId="51" fillId="20" borderId="0" xfId="0" applyFont="1" applyFill="1" applyBorder="1" applyAlignment="1">
      <alignment horizontal="center"/>
    </xf>
    <xf numFmtId="0" fontId="1" fillId="24" borderId="16" xfId="1" applyFont="1" applyFill="1" applyBorder="1" applyAlignment="1">
      <alignment horizontal="center"/>
    </xf>
    <xf numFmtId="2" fontId="1" fillId="24" borderId="15" xfId="1" applyNumberFormat="1" applyFont="1" applyFill="1" applyBorder="1" applyAlignment="1">
      <alignment horizontal="center"/>
    </xf>
    <xf numFmtId="164" fontId="1" fillId="24" borderId="15" xfId="1" applyNumberFormat="1" applyFont="1" applyFill="1" applyBorder="1" applyAlignment="1">
      <alignment horizontal="center"/>
    </xf>
    <xf numFmtId="0" fontId="1" fillId="21" borderId="26" xfId="0" applyFont="1" applyFill="1" applyBorder="1" applyAlignment="1">
      <alignment horizontal="center"/>
    </xf>
    <xf numFmtId="0" fontId="1" fillId="21" borderId="20" xfId="0" applyFont="1" applyFill="1" applyBorder="1" applyAlignment="1">
      <alignment horizontal="center"/>
    </xf>
    <xf numFmtId="0" fontId="1" fillId="21" borderId="19" xfId="0" applyFont="1" applyFill="1" applyBorder="1" applyAlignment="1">
      <alignment horizontal="center"/>
    </xf>
    <xf numFmtId="0" fontId="1" fillId="24" borderId="17" xfId="1" applyFont="1" applyFill="1" applyBorder="1" applyAlignment="1">
      <alignment horizontal="center"/>
    </xf>
    <xf numFmtId="2" fontId="1" fillId="24" borderId="18" xfId="1" applyNumberFormat="1" applyFont="1" applyFill="1" applyBorder="1" applyAlignment="1">
      <alignment horizontal="center"/>
    </xf>
    <xf numFmtId="164" fontId="1" fillId="24" borderId="18" xfId="1" applyNumberFormat="1" applyFont="1" applyFill="1" applyBorder="1" applyAlignment="1">
      <alignment horizontal="center"/>
    </xf>
    <xf numFmtId="0" fontId="1" fillId="21" borderId="5" xfId="0" applyFont="1" applyFill="1" applyBorder="1" applyAlignment="1">
      <alignment horizontal="center"/>
    </xf>
    <xf numFmtId="0" fontId="1" fillId="22" borderId="10" xfId="0" applyFont="1" applyFill="1" applyBorder="1"/>
    <xf numFmtId="0" fontId="1" fillId="22" borderId="11" xfId="0" applyFont="1" applyFill="1" applyBorder="1"/>
    <xf numFmtId="0" fontId="1" fillId="21" borderId="12" xfId="0" applyFont="1" applyFill="1" applyBorder="1" applyAlignment="1">
      <alignment horizontal="center"/>
    </xf>
    <xf numFmtId="0" fontId="15" fillId="20" borderId="0" xfId="0" applyFont="1" applyFill="1" applyBorder="1"/>
    <xf numFmtId="0" fontId="1" fillId="22" borderId="14" xfId="0" applyFont="1" applyFill="1" applyBorder="1"/>
    <xf numFmtId="0" fontId="1" fillId="22" borderId="13" xfId="0" applyFont="1" applyFill="1" applyBorder="1"/>
    <xf numFmtId="0" fontId="1" fillId="21" borderId="23" xfId="0" applyFont="1" applyFill="1" applyBorder="1" applyAlignment="1">
      <alignment horizontal="center"/>
    </xf>
    <xf numFmtId="0" fontId="1" fillId="20" borderId="0" xfId="0" applyFont="1" applyFill="1" applyBorder="1"/>
    <xf numFmtId="0" fontId="1" fillId="20" borderId="0" xfId="0" applyFont="1" applyFill="1" applyBorder="1" applyAlignment="1">
      <alignment horizontal="center"/>
    </xf>
    <xf numFmtId="0" fontId="53" fillId="20" borderId="0" xfId="0" applyFont="1" applyFill="1" applyBorder="1" applyAlignment="1"/>
    <xf numFmtId="0" fontId="2" fillId="26" borderId="28" xfId="0" applyFont="1" applyFill="1" applyBorder="1" applyAlignment="1">
      <alignment horizontal="center"/>
    </xf>
    <xf numFmtId="0" fontId="2" fillId="26" borderId="24" xfId="0" applyFont="1" applyFill="1" applyBorder="1" applyAlignment="1">
      <alignment horizontal="center"/>
    </xf>
    <xf numFmtId="0" fontId="2" fillId="26" borderId="26" xfId="0" applyFont="1" applyFill="1" applyBorder="1" applyAlignment="1">
      <alignment horizontal="center"/>
    </xf>
    <xf numFmtId="0" fontId="2" fillId="27" borderId="32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29" xfId="0" applyFont="1" applyFill="1" applyBorder="1"/>
    <xf numFmtId="0" fontId="1" fillId="0" borderId="5" xfId="0" applyFont="1" applyFill="1" applyBorder="1"/>
    <xf numFmtId="164" fontId="1" fillId="0" borderId="9" xfId="0" applyNumberFormat="1" applyFont="1" applyFill="1" applyBorder="1" applyAlignment="1">
      <alignment horizontal="right"/>
    </xf>
    <xf numFmtId="2" fontId="1" fillId="0" borderId="30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5" fontId="1" fillId="0" borderId="30" xfId="0" applyNumberFormat="1" applyFont="1" applyFill="1" applyBorder="1" applyAlignment="1">
      <alignment horizontal="right"/>
    </xf>
    <xf numFmtId="165" fontId="1" fillId="0" borderId="6" xfId="0" applyNumberFormat="1" applyFont="1" applyFill="1" applyBorder="1" applyAlignment="1">
      <alignment horizontal="right"/>
    </xf>
    <xf numFmtId="167" fontId="1" fillId="0" borderId="9" xfId="0" applyNumberFormat="1" applyFont="1" applyFill="1" applyBorder="1" applyAlignment="1">
      <alignment horizontal="right"/>
    </xf>
    <xf numFmtId="0" fontId="2" fillId="26" borderId="1" xfId="0" applyFont="1" applyFill="1" applyBorder="1"/>
    <xf numFmtId="165" fontId="2" fillId="26" borderId="9" xfId="0" applyNumberFormat="1" applyFont="1" applyFill="1" applyBorder="1"/>
    <xf numFmtId="165" fontId="2" fillId="26" borderId="30" xfId="0" applyNumberFormat="1" applyFont="1" applyFill="1" applyBorder="1"/>
    <xf numFmtId="165" fontId="2" fillId="26" borderId="6" xfId="0" applyNumberFormat="1" applyFont="1" applyFill="1" applyBorder="1"/>
    <xf numFmtId="165" fontId="1" fillId="0" borderId="9" xfId="0" applyNumberFormat="1" applyFont="1" applyFill="1" applyBorder="1"/>
    <xf numFmtId="165" fontId="1" fillId="0" borderId="30" xfId="0" applyNumberFormat="1" applyFont="1" applyFill="1" applyBorder="1"/>
    <xf numFmtId="167" fontId="1" fillId="0" borderId="39" xfId="0" applyNumberFormat="1" applyFont="1" applyFill="1" applyBorder="1"/>
    <xf numFmtId="165" fontId="1" fillId="0" borderId="0" xfId="0" applyNumberFormat="1" applyFont="1" applyFill="1" applyBorder="1"/>
    <xf numFmtId="165" fontId="1" fillId="0" borderId="6" xfId="0" applyNumberFormat="1" applyFont="1" applyFill="1" applyBorder="1"/>
    <xf numFmtId="0" fontId="51" fillId="20" borderId="0" xfId="1" applyFont="1" applyFill="1" applyBorder="1" applyAlignment="1">
      <alignment horizontal="right"/>
    </xf>
    <xf numFmtId="164" fontId="51" fillId="20" borderId="0" xfId="1" applyNumberFormat="1" applyFont="1" applyFill="1" applyBorder="1"/>
    <xf numFmtId="2" fontId="51" fillId="20" borderId="0" xfId="0" applyNumberFormat="1" applyFont="1" applyFill="1" applyBorder="1" applyAlignment="1">
      <alignment horizontal="right"/>
    </xf>
    <xf numFmtId="167" fontId="1" fillId="28" borderId="15" xfId="0" applyNumberFormat="1" applyFont="1" applyFill="1" applyBorder="1"/>
    <xf numFmtId="167" fontId="1" fillId="0" borderId="9" xfId="0" applyNumberFormat="1" applyFont="1" applyFill="1" applyBorder="1"/>
    <xf numFmtId="0" fontId="51" fillId="20" borderId="0" xfId="1" applyFont="1" applyFill="1" applyBorder="1"/>
    <xf numFmtId="0" fontId="1" fillId="24" borderId="28" xfId="0" applyFont="1" applyFill="1" applyBorder="1"/>
    <xf numFmtId="165" fontId="1" fillId="24" borderId="24" xfId="0" applyNumberFormat="1" applyFont="1" applyFill="1" applyBorder="1" applyAlignment="1">
      <alignment horizontal="right"/>
    </xf>
    <xf numFmtId="164" fontId="1" fillId="24" borderId="11" xfId="0" applyNumberFormat="1" applyFont="1" applyFill="1" applyBorder="1" applyAlignment="1">
      <alignment horizontal="right"/>
    </xf>
    <xf numFmtId="164" fontId="1" fillId="24" borderId="12" xfId="0" applyNumberFormat="1" applyFont="1" applyFill="1" applyBorder="1" applyAlignment="1">
      <alignment horizontal="right"/>
    </xf>
    <xf numFmtId="0" fontId="1" fillId="20" borderId="0" xfId="1" applyFont="1" applyFill="1" applyBorder="1" applyAlignment="1">
      <alignment horizontal="right"/>
    </xf>
    <xf numFmtId="0" fontId="1" fillId="20" borderId="0" xfId="1" applyFont="1" applyFill="1" applyBorder="1"/>
    <xf numFmtId="2" fontId="1" fillId="20" borderId="0" xfId="0" applyNumberFormat="1" applyFont="1" applyFill="1" applyBorder="1" applyAlignment="1">
      <alignment horizontal="right"/>
    </xf>
    <xf numFmtId="0" fontId="1" fillId="20" borderId="1" xfId="0" applyFont="1" applyFill="1" applyBorder="1"/>
    <xf numFmtId="0" fontId="1" fillId="24" borderId="16" xfId="0" applyFont="1" applyFill="1" applyBorder="1"/>
    <xf numFmtId="165" fontId="1" fillId="24" borderId="15" xfId="0" applyNumberFormat="1" applyFont="1" applyFill="1" applyBorder="1" applyAlignment="1">
      <alignment horizontal="right"/>
    </xf>
    <xf numFmtId="164" fontId="1" fillId="24" borderId="0" xfId="0" applyNumberFormat="1" applyFont="1" applyFill="1" applyBorder="1" applyAlignment="1">
      <alignment horizontal="right"/>
    </xf>
    <xf numFmtId="164" fontId="1" fillId="24" borderId="2" xfId="0" applyNumberFormat="1" applyFont="1" applyFill="1" applyBorder="1" applyAlignment="1">
      <alignment horizontal="right"/>
    </xf>
    <xf numFmtId="169" fontId="54" fillId="20" borderId="0" xfId="2" applyFont="1" applyFill="1" applyBorder="1" applyAlignment="1">
      <alignment horizontal="center" vertical="center"/>
    </xf>
    <xf numFmtId="0" fontId="55" fillId="24" borderId="14" xfId="0" applyFont="1" applyFill="1" applyBorder="1"/>
    <xf numFmtId="165" fontId="55" fillId="24" borderId="21" xfId="0" applyNumberFormat="1" applyFont="1" applyFill="1" applyBorder="1"/>
    <xf numFmtId="0" fontId="57" fillId="20" borderId="0" xfId="0" applyFont="1" applyFill="1" applyBorder="1" applyAlignment="1">
      <alignment horizontal="center"/>
    </xf>
    <xf numFmtId="1" fontId="58" fillId="21" borderId="50" xfId="2" applyNumberFormat="1" applyFont="1" applyFill="1" applyBorder="1" applyAlignment="1">
      <alignment horizontal="center" vertical="center"/>
    </xf>
    <xf numFmtId="0" fontId="57" fillId="20" borderId="0" xfId="0" applyFont="1" applyFill="1" applyBorder="1"/>
    <xf numFmtId="1" fontId="58" fillId="21" borderId="15" xfId="2" applyNumberFormat="1" applyFont="1" applyFill="1" applyBorder="1" applyAlignment="1">
      <alignment horizontal="center" vertical="center"/>
    </xf>
    <xf numFmtId="169" fontId="54" fillId="20" borderId="37" xfId="2" applyFont="1" applyFill="1" applyBorder="1" applyAlignment="1">
      <alignment horizontal="center" vertical="center"/>
    </xf>
    <xf numFmtId="169" fontId="59" fillId="20" borderId="0" xfId="2" applyFont="1" applyFill="1" applyBorder="1" applyAlignment="1">
      <alignment horizontal="center"/>
    </xf>
    <xf numFmtId="0" fontId="59" fillId="20" borderId="0" xfId="0" applyFont="1" applyFill="1" applyBorder="1" applyAlignment="1">
      <alignment horizontal="center"/>
    </xf>
    <xf numFmtId="1" fontId="58" fillId="20" borderId="0" xfId="0" applyNumberFormat="1" applyFont="1" applyFill="1" applyBorder="1" applyAlignment="1">
      <alignment horizontal="center"/>
    </xf>
    <xf numFmtId="1" fontId="58" fillId="20" borderId="0" xfId="2" applyNumberFormat="1" applyFont="1" applyFill="1" applyBorder="1" applyAlignment="1">
      <alignment horizontal="center" vertical="center"/>
    </xf>
    <xf numFmtId="169" fontId="58" fillId="20" borderId="0" xfId="2" applyFont="1" applyFill="1" applyBorder="1" applyAlignment="1">
      <alignment horizontal="center" vertical="center"/>
    </xf>
    <xf numFmtId="0" fontId="58" fillId="20" borderId="0" xfId="0" applyFont="1" applyFill="1" applyBorder="1" applyAlignment="1">
      <alignment horizontal="center"/>
    </xf>
    <xf numFmtId="0" fontId="58" fillId="20" borderId="0" xfId="0" applyFont="1" applyFill="1" applyBorder="1"/>
    <xf numFmtId="169" fontId="58" fillId="20" borderId="0" xfId="2" applyFont="1" applyFill="1" applyBorder="1" applyAlignment="1">
      <alignment vertical="center"/>
    </xf>
    <xf numFmtId="164" fontId="54" fillId="26" borderId="15" xfId="2" applyNumberFormat="1" applyFont="1" applyFill="1" applyBorder="1" applyAlignment="1">
      <alignment horizontal="center" vertical="center"/>
    </xf>
    <xf numFmtId="169" fontId="54" fillId="20" borderId="43" xfId="2" applyFont="1" applyFill="1" applyBorder="1" applyAlignment="1">
      <alignment horizontal="center"/>
    </xf>
    <xf numFmtId="0" fontId="61" fillId="20" borderId="0" xfId="0" applyFont="1" applyFill="1" applyBorder="1" applyAlignment="1">
      <alignment horizontal="center"/>
    </xf>
    <xf numFmtId="169" fontId="54" fillId="20" borderId="15" xfId="2" applyFont="1" applyFill="1" applyBorder="1" applyAlignment="1">
      <alignment horizontal="center"/>
    </xf>
    <xf numFmtId="0" fontId="1" fillId="20" borderId="14" xfId="0" applyFont="1" applyFill="1" applyBorder="1"/>
    <xf numFmtId="164" fontId="20" fillId="20" borderId="13" xfId="0" applyNumberFormat="1" applyFont="1" applyFill="1" applyBorder="1"/>
    <xf numFmtId="0" fontId="1" fillId="20" borderId="13" xfId="0" applyFont="1" applyFill="1" applyBorder="1"/>
    <xf numFmtId="165" fontId="0" fillId="15" borderId="26" xfId="0" applyNumberFormat="1" applyFill="1" applyBorder="1" applyAlignment="1">
      <alignment horizontal="right"/>
    </xf>
    <xf numFmtId="0" fontId="62" fillId="18" borderId="0" xfId="0" applyFont="1" applyFill="1" applyBorder="1"/>
    <xf numFmtId="0" fontId="1" fillId="5" borderId="20" xfId="0" applyFont="1" applyFill="1" applyBorder="1" applyAlignment="1">
      <alignment horizontal="center"/>
    </xf>
    <xf numFmtId="0" fontId="20" fillId="18" borderId="0" xfId="0" applyFont="1" applyFill="1" applyBorder="1" applyAlignment="1"/>
    <xf numFmtId="1" fontId="40" fillId="18" borderId="0" xfId="0" applyNumberFormat="1" applyFont="1" applyFill="1" applyBorder="1" applyAlignment="1">
      <alignment horizontal="center"/>
    </xf>
    <xf numFmtId="0" fontId="15" fillId="18" borderId="13" xfId="0" applyFont="1" applyFill="1" applyBorder="1"/>
    <xf numFmtId="0" fontId="15" fillId="18" borderId="23" xfId="0" applyFont="1" applyFill="1" applyBorder="1"/>
    <xf numFmtId="0" fontId="15" fillId="18" borderId="0" xfId="0" applyFont="1" applyFill="1"/>
    <xf numFmtId="164" fontId="15" fillId="18" borderId="2" xfId="0" applyNumberFormat="1" applyFont="1" applyFill="1" applyBorder="1" applyAlignment="1">
      <alignment horizontal="right"/>
    </xf>
    <xf numFmtId="164" fontId="15" fillId="18" borderId="2" xfId="1" applyNumberFormat="1" applyFont="1" applyFill="1" applyBorder="1"/>
    <xf numFmtId="164" fontId="15" fillId="18" borderId="2" xfId="0" applyNumberFormat="1" applyFont="1" applyFill="1" applyBorder="1"/>
    <xf numFmtId="165" fontId="64" fillId="18" borderId="2" xfId="0" applyNumberFormat="1" applyFont="1" applyFill="1" applyBorder="1"/>
    <xf numFmtId="0" fontId="64" fillId="18" borderId="2" xfId="0" applyFont="1" applyFill="1" applyBorder="1"/>
    <xf numFmtId="164" fontId="16" fillId="18" borderId="2" xfId="0" applyNumberFormat="1" applyFont="1" applyFill="1" applyBorder="1" applyAlignment="1">
      <alignment horizontal="right"/>
    </xf>
    <xf numFmtId="164" fontId="17" fillId="18" borderId="2" xfId="1" applyNumberFormat="1" applyFont="1" applyFill="1" applyBorder="1"/>
    <xf numFmtId="164" fontId="17" fillId="18" borderId="2" xfId="0" applyNumberFormat="1" applyFont="1" applyFill="1" applyBorder="1"/>
    <xf numFmtId="0" fontId="17" fillId="18" borderId="2" xfId="0" applyFont="1" applyFill="1" applyBorder="1"/>
    <xf numFmtId="164" fontId="15" fillId="18" borderId="0" xfId="1" applyNumberFormat="1" applyFont="1" applyFill="1" applyBorder="1" applyAlignment="1">
      <alignment horizontal="center"/>
    </xf>
    <xf numFmtId="0" fontId="65" fillId="18" borderId="0" xfId="0" applyFont="1" applyFill="1" applyBorder="1"/>
    <xf numFmtId="0" fontId="20" fillId="18" borderId="0" xfId="0" applyFont="1" applyFill="1" applyBorder="1" applyAlignment="1">
      <alignment horizontal="center"/>
    </xf>
    <xf numFmtId="0" fontId="65" fillId="18" borderId="0" xfId="0" applyFont="1" applyFill="1" applyBorder="1" applyAlignment="1">
      <alignment horizontal="center"/>
    </xf>
    <xf numFmtId="0" fontId="65" fillId="18" borderId="0" xfId="0" applyFont="1" applyFill="1" applyBorder="1" applyAlignment="1"/>
    <xf numFmtId="2" fontId="15" fillId="18" borderId="0" xfId="0" applyNumberFormat="1" applyFont="1" applyFill="1" applyBorder="1" applyAlignment="1">
      <alignment horizontal="right"/>
    </xf>
    <xf numFmtId="169" fontId="66" fillId="18" borderId="0" xfId="2" applyFont="1" applyFill="1" applyBorder="1" applyAlignment="1">
      <alignment horizontal="center"/>
    </xf>
    <xf numFmtId="0" fontId="66" fillId="18" borderId="0" xfId="0" applyFont="1" applyFill="1" applyAlignment="1">
      <alignment horizontal="center"/>
    </xf>
    <xf numFmtId="0" fontId="67" fillId="18" borderId="0" xfId="0" applyFont="1" applyFill="1" applyBorder="1"/>
    <xf numFmtId="1" fontId="68" fillId="18" borderId="0" xfId="0" applyNumberFormat="1" applyFont="1" applyFill="1" applyBorder="1" applyAlignment="1">
      <alignment horizontal="center"/>
    </xf>
    <xf numFmtId="0" fontId="67" fillId="18" borderId="0" xfId="0" applyFont="1" applyFill="1"/>
    <xf numFmtId="165" fontId="26" fillId="18" borderId="0" xfId="0" applyNumberFormat="1" applyFont="1" applyFill="1" applyBorder="1"/>
    <xf numFmtId="165" fontId="26" fillId="18" borderId="0" xfId="0" applyNumberFormat="1" applyFont="1" applyFill="1" applyBorder="1" applyAlignment="1">
      <alignment horizontal="right"/>
    </xf>
    <xf numFmtId="0" fontId="69" fillId="18" borderId="0" xfId="0" applyFont="1" applyFill="1" applyBorder="1" applyAlignment="1">
      <alignment vertical="center"/>
    </xf>
    <xf numFmtId="1" fontId="67" fillId="18" borderId="0" xfId="0" applyNumberFormat="1" applyFont="1" applyFill="1" applyBorder="1" applyAlignment="1">
      <alignment horizontal="center"/>
    </xf>
    <xf numFmtId="0" fontId="67" fillId="18" borderId="0" xfId="0" applyFont="1" applyFill="1" applyBorder="1" applyAlignment="1">
      <alignment horizontal="center"/>
    </xf>
    <xf numFmtId="0" fontId="70" fillId="18" borderId="0" xfId="0" applyFont="1" applyFill="1" applyBorder="1" applyAlignment="1">
      <alignment horizontal="center"/>
    </xf>
    <xf numFmtId="0" fontId="70" fillId="18" borderId="0" xfId="0" applyFont="1" applyFill="1" applyAlignment="1">
      <alignment horizontal="center"/>
    </xf>
    <xf numFmtId="169" fontId="58" fillId="20" borderId="0" xfId="2" applyFont="1" applyFill="1" applyBorder="1" applyAlignment="1">
      <alignment horizontal="right" vertical="center"/>
    </xf>
    <xf numFmtId="0" fontId="53" fillId="20" borderId="0" xfId="0" applyFont="1" applyFill="1" applyBorder="1" applyAlignment="1">
      <alignment horizontal="center"/>
    </xf>
    <xf numFmtId="0" fontId="34" fillId="20" borderId="0" xfId="0" applyFont="1" applyFill="1" applyBorder="1"/>
    <xf numFmtId="0" fontId="34" fillId="20" borderId="2" xfId="0" applyFont="1" applyFill="1" applyBorder="1"/>
    <xf numFmtId="0" fontId="34" fillId="20" borderId="0" xfId="0" applyFont="1" applyFill="1" applyBorder="1" applyAlignment="1"/>
    <xf numFmtId="0" fontId="34" fillId="20" borderId="13" xfId="0" applyFont="1" applyFill="1" applyBorder="1"/>
    <xf numFmtId="0" fontId="34" fillId="20" borderId="23" xfId="0" applyFont="1" applyFill="1" applyBorder="1"/>
    <xf numFmtId="0" fontId="1" fillId="0" borderId="0" xfId="0" applyFont="1"/>
    <xf numFmtId="164" fontId="26" fillId="20" borderId="0" xfId="0" applyNumberFormat="1" applyFont="1" applyFill="1" applyBorder="1"/>
    <xf numFmtId="0" fontId="27" fillId="20" borderId="0" xfId="0" applyFont="1" applyFill="1" applyBorder="1"/>
    <xf numFmtId="0" fontId="26" fillId="20" borderId="0" xfId="0" applyFont="1" applyFill="1" applyBorder="1"/>
    <xf numFmtId="164" fontId="26" fillId="20" borderId="0" xfId="0" applyNumberFormat="1" applyFont="1" applyFill="1" applyBorder="1" applyAlignment="1">
      <alignment horizontal="right"/>
    </xf>
    <xf numFmtId="0" fontId="20" fillId="20" borderId="13" xfId="0" applyFont="1" applyFill="1" applyBorder="1" applyAlignment="1">
      <alignment wrapText="1"/>
    </xf>
    <xf numFmtId="0" fontId="57" fillId="20" borderId="0" xfId="0" applyFont="1" applyFill="1" applyBorder="1" applyAlignment="1">
      <alignment wrapText="1"/>
    </xf>
    <xf numFmtId="164" fontId="1" fillId="24" borderId="43" xfId="0" applyNumberFormat="1" applyFont="1" applyFill="1" applyBorder="1" applyAlignment="1"/>
    <xf numFmtId="164" fontId="1" fillId="24" borderId="52" xfId="0" applyNumberFormat="1" applyFont="1" applyFill="1" applyBorder="1" applyAlignment="1"/>
    <xf numFmtId="164" fontId="1" fillId="24" borderId="53" xfId="0" applyNumberFormat="1" applyFont="1" applyFill="1" applyBorder="1" applyAlignment="1"/>
    <xf numFmtId="164" fontId="1" fillId="24" borderId="54" xfId="0" applyNumberFormat="1" applyFont="1" applyFill="1" applyBorder="1" applyAlignment="1"/>
    <xf numFmtId="0" fontId="15" fillId="20" borderId="2" xfId="0" applyFont="1" applyFill="1" applyBorder="1"/>
    <xf numFmtId="0" fontId="15" fillId="20" borderId="23" xfId="0" applyFont="1" applyFill="1" applyBorder="1"/>
    <xf numFmtId="0" fontId="27" fillId="20" borderId="13" xfId="0" applyFont="1" applyFill="1" applyBorder="1"/>
    <xf numFmtId="164" fontId="34" fillId="15" borderId="11" xfId="0" applyNumberFormat="1" applyFont="1" applyFill="1" applyBorder="1" applyAlignment="1">
      <alignment horizontal="left"/>
    </xf>
    <xf numFmtId="169" fontId="25" fillId="18" borderId="0" xfId="2" applyFont="1" applyFill="1" applyBorder="1" applyAlignment="1">
      <alignment horizontal="right" vertical="center"/>
    </xf>
    <xf numFmtId="0" fontId="0" fillId="18" borderId="0" xfId="0" applyFill="1" applyBorder="1" applyAlignment="1">
      <alignment horizontal="left"/>
    </xf>
    <xf numFmtId="2" fontId="1" fillId="15" borderId="28" xfId="1" applyNumberFormat="1" applyFont="1" applyFill="1" applyBorder="1" applyAlignment="1">
      <alignment horizontal="center"/>
    </xf>
    <xf numFmtId="164" fontId="1" fillId="15" borderId="22" xfId="0" applyNumberFormat="1" applyFont="1" applyFill="1" applyBorder="1" applyAlignment="1">
      <alignment horizontal="center"/>
    </xf>
    <xf numFmtId="164" fontId="63" fillId="18" borderId="2" xfId="1" applyNumberFormat="1" applyFont="1" applyFill="1" applyBorder="1"/>
    <xf numFmtId="164" fontId="63" fillId="18" borderId="2" xfId="0" applyNumberFormat="1" applyFont="1" applyFill="1" applyBorder="1"/>
    <xf numFmtId="0" fontId="63" fillId="18" borderId="2" xfId="0" applyFont="1" applyFill="1" applyBorder="1"/>
    <xf numFmtId="168" fontId="27" fillId="18" borderId="0" xfId="0" applyNumberFormat="1" applyFont="1" applyFill="1" applyBorder="1"/>
    <xf numFmtId="2" fontId="1" fillId="15" borderId="19" xfId="0" applyNumberFormat="1" applyFont="1" applyFill="1" applyBorder="1" applyAlignment="1">
      <alignment horizontal="center"/>
    </xf>
    <xf numFmtId="2" fontId="1" fillId="15" borderId="26" xfId="0" applyNumberFormat="1" applyFont="1" applyFill="1" applyBorder="1" applyAlignment="1">
      <alignment horizontal="center"/>
    </xf>
    <xf numFmtId="2" fontId="7" fillId="15" borderId="19" xfId="0" applyNumberFormat="1" applyFont="1" applyFill="1" applyBorder="1" applyAlignment="1">
      <alignment horizontal="center"/>
    </xf>
    <xf numFmtId="2" fontId="1" fillId="15" borderId="49" xfId="0" applyNumberFormat="1" applyFont="1" applyFill="1" applyBorder="1" applyAlignment="1">
      <alignment horizontal="center"/>
    </xf>
    <xf numFmtId="2" fontId="0" fillId="15" borderId="18" xfId="0" applyNumberFormat="1" applyFill="1" applyBorder="1"/>
    <xf numFmtId="2" fontId="0" fillId="15" borderId="20" xfId="0" applyNumberFormat="1" applyFill="1" applyBorder="1"/>
    <xf numFmtId="0" fontId="73" fillId="30" borderId="15" xfId="0" applyFont="1" applyFill="1" applyBorder="1"/>
    <xf numFmtId="0" fontId="34" fillId="30" borderId="15" xfId="0" applyFont="1" applyFill="1" applyBorder="1"/>
    <xf numFmtId="1" fontId="34" fillId="30" borderId="15" xfId="0" applyNumberFormat="1" applyFont="1" applyFill="1" applyBorder="1"/>
    <xf numFmtId="0" fontId="73" fillId="30" borderId="18" xfId="0" applyFont="1" applyFill="1" applyBorder="1"/>
    <xf numFmtId="1" fontId="34" fillId="30" borderId="18" xfId="0" applyNumberFormat="1" applyFont="1" applyFill="1" applyBorder="1"/>
    <xf numFmtId="1" fontId="58" fillId="20" borderId="0" xfId="2" applyNumberFormat="1" applyFont="1" applyFill="1" applyBorder="1" applyAlignment="1">
      <alignment horizontal="left" vertical="center"/>
    </xf>
    <xf numFmtId="169" fontId="72" fillId="20" borderId="13" xfId="2" applyFont="1" applyFill="1" applyBorder="1" applyAlignment="1">
      <alignment vertical="center" wrapText="1"/>
    </xf>
    <xf numFmtId="0" fontId="63" fillId="18" borderId="0" xfId="0" applyFont="1" applyFill="1"/>
    <xf numFmtId="165" fontId="63" fillId="18" borderId="2" xfId="0" applyNumberFormat="1" applyFont="1" applyFill="1" applyBorder="1"/>
    <xf numFmtId="166" fontId="0" fillId="0" borderId="30" xfId="0" applyNumberFormat="1" applyBorder="1" applyAlignment="1">
      <alignment horizontal="right"/>
    </xf>
    <xf numFmtId="166" fontId="2" fillId="11" borderId="30" xfId="0" applyNumberFormat="1" applyFont="1" applyFill="1" applyBorder="1"/>
    <xf numFmtId="166" fontId="0" fillId="0" borderId="30" xfId="0" applyNumberFormat="1" applyBorder="1"/>
    <xf numFmtId="166" fontId="0" fillId="0" borderId="0" xfId="0" applyNumberFormat="1" applyBorder="1"/>
    <xf numFmtId="0" fontId="28" fillId="18" borderId="0" xfId="0" applyFont="1" applyFill="1"/>
    <xf numFmtId="0" fontId="5" fillId="21" borderId="38" xfId="0" applyFont="1" applyFill="1" applyBorder="1" applyAlignment="1">
      <alignment horizontal="center"/>
    </xf>
    <xf numFmtId="0" fontId="5" fillId="24" borderId="55" xfId="1" applyFont="1" applyFill="1" applyBorder="1" applyAlignment="1">
      <alignment horizontal="center"/>
    </xf>
    <xf numFmtId="0" fontId="5" fillId="24" borderId="16" xfId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6" fillId="12" borderId="38" xfId="0" applyFont="1" applyFill="1" applyBorder="1" applyAlignment="1">
      <alignment horizontal="center"/>
    </xf>
    <xf numFmtId="165" fontId="1" fillId="12" borderId="15" xfId="0" applyNumberFormat="1" applyFont="1" applyFill="1" applyBorder="1" applyAlignment="1">
      <alignment horizontal="right"/>
    </xf>
    <xf numFmtId="0" fontId="0" fillId="31" borderId="0" xfId="0" applyFill="1" applyBorder="1"/>
    <xf numFmtId="0" fontId="25" fillId="31" borderId="0" xfId="0" applyFont="1" applyFill="1" applyBorder="1"/>
    <xf numFmtId="164" fontId="24" fillId="31" borderId="0" xfId="2" applyNumberFormat="1" applyFont="1" applyFill="1" applyBorder="1" applyAlignment="1">
      <alignment horizontal="center" vertical="center"/>
    </xf>
    <xf numFmtId="169" fontId="24" fillId="31" borderId="0" xfId="2" applyFont="1" applyFill="1" applyBorder="1" applyAlignment="1">
      <alignment horizontal="center"/>
    </xf>
    <xf numFmtId="0" fontId="25" fillId="31" borderId="0" xfId="0" applyFont="1" applyFill="1" applyBorder="1" applyAlignment="1">
      <alignment horizontal="center"/>
    </xf>
    <xf numFmtId="0" fontId="27" fillId="31" borderId="0" xfId="0" applyFont="1" applyFill="1" applyBorder="1"/>
    <xf numFmtId="0" fontId="39" fillId="31" borderId="0" xfId="0" applyFont="1" applyFill="1" applyBorder="1" applyAlignment="1">
      <alignment horizontal="center"/>
    </xf>
    <xf numFmtId="0" fontId="32" fillId="31" borderId="0" xfId="0" applyFont="1" applyFill="1" applyBorder="1"/>
    <xf numFmtId="0" fontId="16" fillId="31" borderId="0" xfId="0" applyFont="1" applyFill="1" applyBorder="1"/>
    <xf numFmtId="0" fontId="27" fillId="18" borderId="47" xfId="0" applyFont="1" applyFill="1" applyBorder="1"/>
    <xf numFmtId="0" fontId="27" fillId="18" borderId="62" xfId="0" applyFont="1" applyFill="1" applyBorder="1"/>
    <xf numFmtId="1" fontId="25" fillId="18" borderId="62" xfId="2" applyNumberFormat="1" applyFont="1" applyFill="1" applyBorder="1" applyAlignment="1">
      <alignment horizontal="center" vertical="center"/>
    </xf>
    <xf numFmtId="164" fontId="24" fillId="18" borderId="62" xfId="2" applyNumberFormat="1" applyFont="1" applyFill="1" applyBorder="1" applyAlignment="1">
      <alignment horizontal="center" vertical="center"/>
    </xf>
    <xf numFmtId="169" fontId="24" fillId="18" borderId="62" xfId="2" applyFont="1" applyFill="1" applyBorder="1" applyAlignment="1">
      <alignment horizontal="center"/>
    </xf>
    <xf numFmtId="0" fontId="39" fillId="18" borderId="62" xfId="0" applyFont="1" applyFill="1" applyBorder="1" applyAlignment="1">
      <alignment horizontal="center"/>
    </xf>
    <xf numFmtId="0" fontId="25" fillId="18" borderId="62" xfId="0" applyFont="1" applyFill="1" applyBorder="1" applyAlignment="1">
      <alignment horizontal="center"/>
    </xf>
    <xf numFmtId="0" fontId="16" fillId="18" borderId="62" xfId="0" applyFont="1" applyFill="1" applyBorder="1"/>
    <xf numFmtId="0" fontId="27" fillId="18" borderId="64" xfId="0" applyFont="1" applyFill="1" applyBorder="1"/>
    <xf numFmtId="0" fontId="1" fillId="24" borderId="35" xfId="1" applyFont="1" applyFill="1" applyBorder="1" applyAlignment="1">
      <alignment horizontal="center"/>
    </xf>
    <xf numFmtId="2" fontId="1" fillId="24" borderId="9" xfId="1" applyNumberFormat="1" applyFont="1" applyFill="1" applyBorder="1" applyAlignment="1">
      <alignment horizontal="center"/>
    </xf>
    <xf numFmtId="164" fontId="1" fillId="24" borderId="7" xfId="1" applyNumberFormat="1" applyFont="1" applyFill="1" applyBorder="1" applyAlignment="1">
      <alignment horizontal="center"/>
    </xf>
    <xf numFmtId="164" fontId="1" fillId="24" borderId="33" xfId="0" applyNumberFormat="1" applyFont="1" applyFill="1" applyBorder="1" applyAlignment="1"/>
    <xf numFmtId="164" fontId="1" fillId="24" borderId="34" xfId="0" applyNumberFormat="1" applyFont="1" applyFill="1" applyBorder="1" applyAlignment="1"/>
    <xf numFmtId="0" fontId="0" fillId="15" borderId="16" xfId="0" applyFill="1" applyBorder="1" applyAlignment="1">
      <alignment horizontal="center"/>
    </xf>
    <xf numFmtId="0" fontId="0" fillId="15" borderId="19" xfId="0" applyFill="1" applyBorder="1"/>
    <xf numFmtId="0" fontId="1" fillId="15" borderId="15" xfId="1" applyFont="1" applyFill="1" applyBorder="1" applyAlignment="1">
      <alignment horizontal="right"/>
    </xf>
    <xf numFmtId="0" fontId="38" fillId="19" borderId="43" xfId="0" applyFont="1" applyFill="1" applyBorder="1" applyAlignment="1">
      <alignment horizontal="right"/>
    </xf>
    <xf numFmtId="0" fontId="38" fillId="19" borderId="44" xfId="0" applyFont="1" applyFill="1" applyBorder="1" applyAlignment="1">
      <alignment horizontal="right"/>
    </xf>
    <xf numFmtId="169" fontId="25" fillId="18" borderId="0" xfId="2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12" fillId="10" borderId="4" xfId="0" applyFont="1" applyFill="1" applyBorder="1" applyAlignment="1">
      <alignment horizontal="center"/>
    </xf>
    <xf numFmtId="0" fontId="12" fillId="10" borderId="3" xfId="0" applyFont="1" applyFill="1" applyBorder="1" applyAlignment="1">
      <alignment horizontal="center"/>
    </xf>
    <xf numFmtId="0" fontId="12" fillId="10" borderId="38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28" fillId="18" borderId="0" xfId="0" applyFont="1" applyFill="1" applyBorder="1" applyAlignment="1">
      <alignment horizontal="center"/>
    </xf>
    <xf numFmtId="0" fontId="30" fillId="18" borderId="0" xfId="0" applyFont="1" applyFill="1" applyBorder="1" applyAlignment="1">
      <alignment horizontal="center"/>
    </xf>
    <xf numFmtId="0" fontId="35" fillId="15" borderId="13" xfId="0" applyFont="1" applyFill="1" applyBorder="1" applyAlignment="1">
      <alignment horizontal="center"/>
    </xf>
    <xf numFmtId="0" fontId="35" fillId="15" borderId="23" xfId="0" applyFont="1" applyFill="1" applyBorder="1" applyAlignment="1">
      <alignment horizontal="center"/>
    </xf>
    <xf numFmtId="0" fontId="12" fillId="12" borderId="4" xfId="0" applyFont="1" applyFill="1" applyBorder="1" applyAlignment="1">
      <alignment horizontal="center"/>
    </xf>
    <xf numFmtId="0" fontId="12" fillId="12" borderId="38" xfId="0" applyFont="1" applyFill="1" applyBorder="1" applyAlignment="1">
      <alignment horizontal="center"/>
    </xf>
    <xf numFmtId="0" fontId="12" fillId="18" borderId="0" xfId="0" applyFont="1" applyFill="1" applyBorder="1" applyAlignment="1">
      <alignment horizontal="center"/>
    </xf>
    <xf numFmtId="0" fontId="12" fillId="12" borderId="3" xfId="0" applyFont="1" applyFill="1" applyBorder="1" applyAlignment="1">
      <alignment horizontal="center"/>
    </xf>
    <xf numFmtId="0" fontId="12" fillId="9" borderId="4" xfId="0" applyFont="1" applyFill="1" applyBorder="1" applyAlignment="1">
      <alignment horizontal="center"/>
    </xf>
    <xf numFmtId="0" fontId="12" fillId="9" borderId="38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38" xfId="0" applyFont="1" applyFill="1" applyBorder="1" applyAlignment="1">
      <alignment horizontal="center"/>
    </xf>
    <xf numFmtId="0" fontId="22" fillId="18" borderId="0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2" fillId="10" borderId="0" xfId="0" applyFont="1" applyFill="1" applyBorder="1" applyAlignment="1">
      <alignment horizontal="center"/>
    </xf>
    <xf numFmtId="0" fontId="35" fillId="15" borderId="65" xfId="0" applyFont="1" applyFill="1" applyBorder="1" applyAlignment="1">
      <alignment horizontal="center"/>
    </xf>
    <xf numFmtId="0" fontId="35" fillId="15" borderId="38" xfId="0" applyFont="1" applyFill="1" applyBorder="1" applyAlignment="1">
      <alignment horizontal="center"/>
    </xf>
    <xf numFmtId="0" fontId="12" fillId="13" borderId="4" xfId="0" applyFont="1" applyFill="1" applyBorder="1" applyAlignment="1">
      <alignment horizontal="center"/>
    </xf>
    <xf numFmtId="0" fontId="12" fillId="13" borderId="38" xfId="0" applyFont="1" applyFill="1" applyBorder="1" applyAlignment="1">
      <alignment horizontal="center"/>
    </xf>
    <xf numFmtId="0" fontId="12" fillId="13" borderId="3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left"/>
    </xf>
    <xf numFmtId="0" fontId="1" fillId="2" borderId="42" xfId="0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2" fillId="8" borderId="38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5" borderId="51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0" fillId="2" borderId="55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1" fillId="15" borderId="47" xfId="0" applyFont="1" applyFill="1" applyBorder="1" applyAlignment="1">
      <alignment horizontal="left"/>
    </xf>
    <xf numFmtId="0" fontId="1" fillId="15" borderId="60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15" borderId="32" xfId="0" applyFont="1" applyFill="1" applyBorder="1" applyAlignment="1">
      <alignment horizontal="left"/>
    </xf>
    <xf numFmtId="0" fontId="0" fillId="15" borderId="44" xfId="0" applyFill="1" applyBorder="1" applyAlignment="1">
      <alignment horizontal="left"/>
    </xf>
    <xf numFmtId="0" fontId="1" fillId="15" borderId="45" xfId="0" applyFont="1" applyFill="1" applyBorder="1" applyAlignment="1">
      <alignment horizontal="left" vertical="center"/>
    </xf>
    <xf numFmtId="0" fontId="0" fillId="15" borderId="29" xfId="0" applyFill="1" applyBorder="1" applyAlignment="1">
      <alignment horizontal="left" vertical="center"/>
    </xf>
    <xf numFmtId="0" fontId="0" fillId="15" borderId="14" xfId="0" applyFill="1" applyBorder="1" applyAlignment="1">
      <alignment horizontal="left" vertical="center"/>
    </xf>
    <xf numFmtId="0" fontId="0" fillId="15" borderId="31" xfId="0" applyFill="1" applyBorder="1" applyAlignment="1">
      <alignment horizontal="left" vertical="center"/>
    </xf>
    <xf numFmtId="0" fontId="2" fillId="15" borderId="4" xfId="0" applyFont="1" applyFill="1" applyBorder="1" applyAlignment="1">
      <alignment horizontal="center"/>
    </xf>
    <xf numFmtId="0" fontId="2" fillId="15" borderId="38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2" fillId="5" borderId="56" xfId="0" applyFont="1" applyFill="1" applyBorder="1" applyAlignment="1">
      <alignment horizontal="center"/>
    </xf>
    <xf numFmtId="0" fontId="2" fillId="5" borderId="59" xfId="0" applyFont="1" applyFill="1" applyBorder="1" applyAlignment="1">
      <alignment horizontal="center"/>
    </xf>
    <xf numFmtId="0" fontId="2" fillId="5" borderId="57" xfId="0" applyFont="1" applyFill="1" applyBorder="1" applyAlignment="1">
      <alignment horizontal="center"/>
    </xf>
    <xf numFmtId="0" fontId="2" fillId="5" borderId="58" xfId="0" applyFont="1" applyFill="1" applyBorder="1" applyAlignment="1">
      <alignment horizontal="center"/>
    </xf>
    <xf numFmtId="0" fontId="0" fillId="2" borderId="60" xfId="0" applyFill="1" applyBorder="1" applyAlignment="1">
      <alignment horizontal="left"/>
    </xf>
    <xf numFmtId="0" fontId="0" fillId="2" borderId="42" xfId="0" applyFill="1" applyBorder="1" applyAlignment="1">
      <alignment horizontal="left"/>
    </xf>
    <xf numFmtId="0" fontId="60" fillId="29" borderId="43" xfId="0" applyFont="1" applyFill="1" applyBorder="1" applyAlignment="1">
      <alignment horizontal="right"/>
    </xf>
    <xf numFmtId="0" fontId="60" fillId="29" borderId="44" xfId="0" applyFont="1" applyFill="1" applyBorder="1" applyAlignment="1">
      <alignment horizontal="right"/>
    </xf>
    <xf numFmtId="0" fontId="52" fillId="25" borderId="4" xfId="0" applyFont="1" applyFill="1" applyBorder="1" applyAlignment="1">
      <alignment horizontal="center"/>
    </xf>
    <xf numFmtId="0" fontId="52" fillId="25" borderId="38" xfId="0" applyFont="1" applyFill="1" applyBorder="1" applyAlignment="1">
      <alignment horizontal="center"/>
    </xf>
    <xf numFmtId="0" fontId="71" fillId="20" borderId="0" xfId="0" applyFont="1" applyFill="1" applyBorder="1" applyAlignment="1">
      <alignment horizontal="center"/>
    </xf>
    <xf numFmtId="0" fontId="30" fillId="20" borderId="0" xfId="0" applyFont="1" applyFill="1" applyBorder="1" applyAlignment="1">
      <alignment horizontal="center"/>
    </xf>
    <xf numFmtId="0" fontId="56" fillId="24" borderId="13" xfId="0" applyFont="1" applyFill="1" applyBorder="1" applyAlignment="1">
      <alignment horizontal="center"/>
    </xf>
    <xf numFmtId="0" fontId="56" fillId="24" borderId="23" xfId="0" applyFont="1" applyFill="1" applyBorder="1" applyAlignment="1">
      <alignment horizontal="center"/>
    </xf>
    <xf numFmtId="0" fontId="53" fillId="20" borderId="0" xfId="0" applyFont="1" applyFill="1" applyBorder="1" applyAlignment="1">
      <alignment horizontal="center"/>
    </xf>
    <xf numFmtId="0" fontId="1" fillId="21" borderId="4" xfId="0" applyFont="1" applyFill="1" applyBorder="1" applyAlignment="1">
      <alignment horizontal="center"/>
    </xf>
    <xf numFmtId="0" fontId="2" fillId="21" borderId="3" xfId="0" applyFont="1" applyFill="1" applyBorder="1" applyAlignment="1">
      <alignment horizontal="center"/>
    </xf>
    <xf numFmtId="0" fontId="2" fillId="21" borderId="38" xfId="0" applyFont="1" applyFill="1" applyBorder="1" applyAlignment="1">
      <alignment horizontal="center"/>
    </xf>
    <xf numFmtId="0" fontId="52" fillId="23" borderId="4" xfId="0" applyFont="1" applyFill="1" applyBorder="1" applyAlignment="1">
      <alignment horizontal="center"/>
    </xf>
    <xf numFmtId="0" fontId="52" fillId="23" borderId="3" xfId="0" applyFont="1" applyFill="1" applyBorder="1" applyAlignment="1">
      <alignment horizontal="center"/>
    </xf>
    <xf numFmtId="0" fontId="52" fillId="23" borderId="38" xfId="0" applyFont="1" applyFill="1" applyBorder="1" applyAlignment="1">
      <alignment horizontal="center"/>
    </xf>
    <xf numFmtId="0" fontId="52" fillId="23" borderId="10" xfId="0" applyFont="1" applyFill="1" applyBorder="1" applyAlignment="1">
      <alignment horizontal="center"/>
    </xf>
    <xf numFmtId="0" fontId="52" fillId="23" borderId="11" xfId="0" applyFont="1" applyFill="1" applyBorder="1" applyAlignment="1">
      <alignment horizontal="center"/>
    </xf>
    <xf numFmtId="0" fontId="52" fillId="23" borderId="12" xfId="0" applyFont="1" applyFill="1" applyBorder="1" applyAlignment="1">
      <alignment horizontal="center"/>
    </xf>
    <xf numFmtId="0" fontId="2" fillId="21" borderId="28" xfId="0" applyFont="1" applyFill="1" applyBorder="1" applyAlignment="1">
      <alignment horizontal="center"/>
    </xf>
    <xf numFmtId="0" fontId="2" fillId="21" borderId="24" xfId="0" applyFont="1" applyFill="1" applyBorder="1" applyAlignment="1">
      <alignment horizontal="center"/>
    </xf>
    <xf numFmtId="0" fontId="2" fillId="21" borderId="26" xfId="0" applyFont="1" applyFill="1" applyBorder="1" applyAlignment="1">
      <alignment horizontal="center"/>
    </xf>
    <xf numFmtId="0" fontId="1" fillId="22" borderId="17" xfId="0" applyFont="1" applyFill="1" applyBorder="1" applyAlignment="1">
      <alignment horizontal="left"/>
    </xf>
    <xf numFmtId="0" fontId="1" fillId="22" borderId="18" xfId="0" applyFont="1" applyFill="1" applyBorder="1" applyAlignment="1">
      <alignment horizontal="left"/>
    </xf>
    <xf numFmtId="0" fontId="2" fillId="22" borderId="4" xfId="0" applyFont="1" applyFill="1" applyBorder="1" applyAlignment="1">
      <alignment horizontal="center"/>
    </xf>
    <xf numFmtId="0" fontId="2" fillId="22" borderId="3" xfId="0" applyFont="1" applyFill="1" applyBorder="1" applyAlignment="1">
      <alignment horizontal="center"/>
    </xf>
    <xf numFmtId="0" fontId="2" fillId="22" borderId="38" xfId="0" applyFont="1" applyFill="1" applyBorder="1" applyAlignment="1">
      <alignment horizontal="center"/>
    </xf>
    <xf numFmtId="164" fontId="1" fillId="24" borderId="15" xfId="0" applyNumberFormat="1" applyFont="1" applyFill="1" applyBorder="1" applyAlignment="1">
      <alignment horizontal="center"/>
    </xf>
    <xf numFmtId="164" fontId="1" fillId="24" borderId="19" xfId="0" applyNumberFormat="1" applyFont="1" applyFill="1" applyBorder="1" applyAlignment="1">
      <alignment horizontal="center"/>
    </xf>
    <xf numFmtId="164" fontId="1" fillId="24" borderId="18" xfId="0" applyNumberFormat="1" applyFont="1" applyFill="1" applyBorder="1" applyAlignment="1">
      <alignment horizontal="center"/>
    </xf>
    <xf numFmtId="164" fontId="1" fillId="24" borderId="20" xfId="0" applyNumberFormat="1" applyFont="1" applyFill="1" applyBorder="1" applyAlignment="1">
      <alignment horizontal="center"/>
    </xf>
    <xf numFmtId="0" fontId="38" fillId="31" borderId="0" xfId="0" applyFont="1" applyFill="1" applyBorder="1" applyAlignment="1">
      <alignment horizontal="right"/>
    </xf>
    <xf numFmtId="0" fontId="11" fillId="5" borderId="3" xfId="0" applyFont="1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38" xfId="0" applyFont="1" applyFill="1" applyBorder="1" applyAlignment="1">
      <alignment horizontal="center"/>
    </xf>
    <xf numFmtId="0" fontId="41" fillId="7" borderId="10" xfId="0" applyFont="1" applyFill="1" applyBorder="1" applyAlignment="1">
      <alignment horizontal="center"/>
    </xf>
    <xf numFmtId="0" fontId="41" fillId="7" borderId="11" xfId="0" applyFont="1" applyFill="1" applyBorder="1" applyAlignment="1">
      <alignment horizontal="center"/>
    </xf>
    <xf numFmtId="0" fontId="41" fillId="7" borderId="12" xfId="0" applyFont="1" applyFill="1" applyBorder="1" applyAlignment="1">
      <alignment horizontal="center"/>
    </xf>
    <xf numFmtId="0" fontId="2" fillId="18" borderId="0" xfId="0" applyFont="1" applyFill="1" applyBorder="1" applyAlignment="1">
      <alignment horizontal="center"/>
    </xf>
    <xf numFmtId="0" fontId="1" fillId="18" borderId="0" xfId="0" applyFont="1" applyFill="1" applyBorder="1" applyAlignment="1">
      <alignment horizontal="left"/>
    </xf>
    <xf numFmtId="0" fontId="38" fillId="18" borderId="62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0" fillId="2" borderId="16" xfId="0" applyFill="1" applyBorder="1" applyAlignment="1">
      <alignment horizontal="left"/>
    </xf>
    <xf numFmtId="0" fontId="0" fillId="2" borderId="4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2" fillId="11" borderId="4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11" borderId="38" xfId="0" applyFont="1" applyFill="1" applyBorder="1" applyAlignment="1">
      <alignment horizontal="center"/>
    </xf>
    <xf numFmtId="0" fontId="19" fillId="18" borderId="0" xfId="0" applyFont="1" applyFill="1" applyBorder="1" applyAlignment="1">
      <alignment horizontal="center"/>
    </xf>
    <xf numFmtId="0" fontId="33" fillId="18" borderId="0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4" borderId="4" xfId="0" applyFont="1" applyFill="1" applyBorder="1" applyAlignment="1">
      <alignment horizontal="center"/>
    </xf>
    <xf numFmtId="0" fontId="2" fillId="14" borderId="38" xfId="0" applyFont="1" applyFill="1" applyBorder="1" applyAlignment="1">
      <alignment horizontal="center"/>
    </xf>
    <xf numFmtId="164" fontId="1" fillId="15" borderId="46" xfId="1" applyNumberFormat="1" applyFont="1" applyFill="1" applyBorder="1" applyAlignment="1">
      <alignment horizontal="center"/>
    </xf>
    <xf numFmtId="164" fontId="1" fillId="15" borderId="51" xfId="1" applyNumberFormat="1" applyFont="1" applyFill="1" applyBorder="1" applyAlignment="1">
      <alignment horizontal="center"/>
    </xf>
    <xf numFmtId="165" fontId="0" fillId="15" borderId="53" xfId="0" applyNumberFormat="1" applyFill="1" applyBorder="1" applyAlignment="1">
      <alignment horizontal="center"/>
    </xf>
    <xf numFmtId="165" fontId="0" fillId="15" borderId="42" xfId="0" applyNumberFormat="1" applyFill="1" applyBorder="1" applyAlignment="1">
      <alignment horizontal="center"/>
    </xf>
    <xf numFmtId="165" fontId="1" fillId="15" borderId="53" xfId="1" applyNumberFormat="1" applyFont="1" applyFill="1" applyBorder="1" applyAlignment="1">
      <alignment horizontal="center"/>
    </xf>
    <xf numFmtId="165" fontId="1" fillId="15" borderId="42" xfId="1" applyNumberFormat="1" applyFont="1" applyFill="1" applyBorder="1" applyAlignment="1">
      <alignment horizontal="center"/>
    </xf>
    <xf numFmtId="165" fontId="1" fillId="15" borderId="46" xfId="1" applyNumberFormat="1" applyFont="1" applyFill="1" applyBorder="1" applyAlignment="1">
      <alignment horizontal="center"/>
    </xf>
    <xf numFmtId="165" fontId="1" fillId="15" borderId="51" xfId="1" applyNumberFormat="1" applyFont="1" applyFill="1" applyBorder="1" applyAlignment="1">
      <alignment horizontal="center"/>
    </xf>
    <xf numFmtId="0" fontId="35" fillId="15" borderId="31" xfId="0" applyFont="1" applyFill="1" applyBorder="1" applyAlignment="1">
      <alignment horizontal="center"/>
    </xf>
    <xf numFmtId="0" fontId="35" fillId="15" borderId="22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2" fillId="14" borderId="11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0" fontId="2" fillId="14" borderId="51" xfId="0" applyFont="1" applyFill="1" applyBorder="1" applyAlignment="1">
      <alignment horizontal="center"/>
    </xf>
    <xf numFmtId="0" fontId="2" fillId="14" borderId="24" xfId="0" applyFont="1" applyFill="1" applyBorder="1" applyAlignment="1">
      <alignment horizontal="center"/>
    </xf>
    <xf numFmtId="0" fontId="2" fillId="14" borderId="26" xfId="0" applyFont="1" applyFill="1" applyBorder="1" applyAlignment="1">
      <alignment horizontal="center"/>
    </xf>
    <xf numFmtId="0" fontId="0" fillId="18" borderId="0" xfId="0" applyFill="1" applyBorder="1" applyAlignment="1">
      <alignment horizontal="left"/>
    </xf>
    <xf numFmtId="0" fontId="2" fillId="14" borderId="3" xfId="0" applyFont="1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1" fillId="15" borderId="55" xfId="0" applyFont="1" applyFill="1" applyBorder="1" applyAlignment="1">
      <alignment horizontal="center"/>
    </xf>
    <xf numFmtId="2" fontId="7" fillId="15" borderId="49" xfId="0" applyNumberFormat="1" applyFont="1" applyFill="1" applyBorder="1" applyAlignment="1">
      <alignment horizontal="center"/>
    </xf>
    <xf numFmtId="0" fontId="12" fillId="13" borderId="56" xfId="0" applyFont="1" applyFill="1" applyBorder="1" applyAlignment="1">
      <alignment horizontal="center"/>
    </xf>
    <xf numFmtId="0" fontId="12" fillId="13" borderId="57" xfId="0" applyFont="1" applyFill="1" applyBorder="1" applyAlignment="1">
      <alignment horizontal="center"/>
    </xf>
    <xf numFmtId="0" fontId="12" fillId="13" borderId="58" xfId="0" applyFont="1" applyFill="1" applyBorder="1" applyAlignment="1">
      <alignment horizontal="center"/>
    </xf>
    <xf numFmtId="2" fontId="1" fillId="15" borderId="17" xfId="0" applyNumberFormat="1" applyFont="1" applyFill="1" applyBorder="1" applyAlignment="1">
      <alignment horizontal="center"/>
    </xf>
    <xf numFmtId="0" fontId="1" fillId="15" borderId="18" xfId="0" applyFont="1" applyFill="1" applyBorder="1" applyAlignment="1"/>
    <xf numFmtId="0" fontId="1" fillId="15" borderId="18" xfId="0" applyFont="1" applyFill="1" applyBorder="1" applyAlignment="1">
      <alignment horizontal="center"/>
    </xf>
    <xf numFmtId="0" fontId="1" fillId="15" borderId="20" xfId="0" applyFont="1" applyFill="1" applyBorder="1" applyAlignment="1"/>
  </cellXfs>
  <cellStyles count="3">
    <cellStyle name="Normal" xfId="0" builtinId="0"/>
    <cellStyle name="Normal 2" xfId="2" xr:uid="{00000000-0005-0000-0000-000001000000}"/>
    <cellStyle name="Normal_WGTBAL" xfId="1" xr:uid="{00000000-0005-0000-0000-000002000000}"/>
  </cellStyles>
  <dxfs count="0"/>
  <tableStyles count="0" defaultTableStyle="TableStyleMedium9" defaultPivotStyle="PivotStyleLight16"/>
  <colors>
    <mruColors>
      <color rgb="FFCCFF33"/>
      <color rgb="FF3366FF"/>
      <color rgb="FF009900"/>
      <color rgb="FFCCFFCC"/>
      <color rgb="FFFF99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7549107447012"/>
          <c:y val="6.5359616633100512E-2"/>
          <c:w val="0.76176579987046167"/>
          <c:h val="0.80392413425543263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'C-152'!$N$15:$N$20</c:f>
              <c:numCache>
                <c:formatCode>0.0</c:formatCode>
                <c:ptCount val="6"/>
                <c:pt idx="0">
                  <c:v>31</c:v>
                </c:pt>
                <c:pt idx="1">
                  <c:v>31</c:v>
                </c:pt>
                <c:pt idx="2">
                  <c:v>32.6</c:v>
                </c:pt>
                <c:pt idx="3">
                  <c:v>36.5</c:v>
                </c:pt>
                <c:pt idx="4">
                  <c:v>36.5</c:v>
                </c:pt>
                <c:pt idx="5">
                  <c:v>31</c:v>
                </c:pt>
              </c:numCache>
            </c:numRef>
          </c:xVal>
          <c:yVal>
            <c:numRef>
              <c:f>'C-152'!$O$15:$O$20</c:f>
              <c:numCache>
                <c:formatCode>0.0</c:formatCode>
                <c:ptCount val="6"/>
                <c:pt idx="0">
                  <c:v>1000</c:v>
                </c:pt>
                <c:pt idx="1">
                  <c:v>1350</c:v>
                </c:pt>
                <c:pt idx="2">
                  <c:v>1670</c:v>
                </c:pt>
                <c:pt idx="3">
                  <c:v>1670</c:v>
                </c:pt>
                <c:pt idx="4">
                  <c:v>1000</c:v>
                </c:pt>
                <c:pt idx="5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0C-4C43-A320-30D82CD350E5}"/>
            </c:ext>
          </c:extLst>
        </c:ser>
        <c:ser>
          <c:idx val="2"/>
          <c:order val="1"/>
          <c:tx>
            <c:v>Empty</c:v>
          </c:tx>
          <c:spPr>
            <a:ln>
              <a:solidFill>
                <a:schemeClr val="tx1"/>
              </a:solidFill>
            </a:ln>
          </c:spPr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ymbol val="triangle"/>
              <c:size val="8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940C-4C43-A320-30D82CD350E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'C-152'!$N$26</c:f>
              <c:numCache>
                <c:formatCode>0.0</c:formatCode>
                <c:ptCount val="1"/>
                <c:pt idx="0">
                  <c:v>33</c:v>
                </c:pt>
              </c:numCache>
            </c:numRef>
          </c:xVal>
          <c:yVal>
            <c:numRef>
              <c:f>'C-152'!$O$26</c:f>
              <c:numCache>
                <c:formatCode>0.0</c:formatCode>
                <c:ptCount val="1"/>
                <c:pt idx="0">
                  <c:v>1194.2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40C-4C43-A320-30D82CD350E5}"/>
            </c:ext>
          </c:extLst>
        </c:ser>
        <c:ser>
          <c:idx val="3"/>
          <c:order val="2"/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'C-152'!$N$22:$N$24</c:f>
              <c:numCache>
                <c:formatCode>0.0</c:formatCode>
                <c:ptCount val="3"/>
                <c:pt idx="0">
                  <c:v>32.458346019868401</c:v>
                </c:pt>
                <c:pt idx="1">
                  <c:v>32.153460258287843</c:v>
                </c:pt>
                <c:pt idx="2">
                  <c:v>31.503638944081747</c:v>
                </c:pt>
              </c:numCache>
            </c:numRef>
          </c:xVal>
          <c:yVal>
            <c:numRef>
              <c:f>'C-152'!$O$22:$O$24</c:f>
              <c:numCache>
                <c:formatCode>0.0</c:formatCode>
                <c:ptCount val="3"/>
                <c:pt idx="0">
                  <c:v>1550.2</c:v>
                </c:pt>
                <c:pt idx="1">
                  <c:v>1502.2</c:v>
                </c:pt>
                <c:pt idx="2">
                  <c:v>1409.2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40C-4C43-A320-30D82CD35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322304"/>
        <c:axId val="120328576"/>
      </c:scatterChart>
      <c:valAx>
        <c:axId val="120322304"/>
        <c:scaling>
          <c:orientation val="minMax"/>
          <c:max val="38"/>
          <c:min val="3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328576"/>
        <c:crosses val="autoZero"/>
        <c:crossBetween val="midCat"/>
        <c:majorUnit val="2"/>
        <c:minorUnit val="1"/>
      </c:valAx>
      <c:valAx>
        <c:axId val="120328576"/>
        <c:scaling>
          <c:orientation val="minMax"/>
          <c:max val="18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322304"/>
        <c:crosses val="autoZero"/>
        <c:crossBetween val="midCat"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88" r="0.75000000000000888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8473486944857"/>
          <c:y val="0.10429931097964892"/>
          <c:w val="0.77419354838709675"/>
          <c:h val="0.76102941176471894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'Arrow IV'!$N$15:$N$20</c:f>
              <c:numCache>
                <c:formatCode>0.0</c:formatCode>
                <c:ptCount val="6"/>
                <c:pt idx="0">
                  <c:v>93</c:v>
                </c:pt>
                <c:pt idx="1">
                  <c:v>85.5</c:v>
                </c:pt>
                <c:pt idx="2">
                  <c:v>85.5</c:v>
                </c:pt>
                <c:pt idx="3">
                  <c:v>90</c:v>
                </c:pt>
                <c:pt idx="4">
                  <c:v>93</c:v>
                </c:pt>
                <c:pt idx="5">
                  <c:v>93</c:v>
                </c:pt>
              </c:numCache>
            </c:numRef>
          </c:xVal>
          <c:yVal>
            <c:numRef>
              <c:f>'Arrow IV'!$O$15:$O$20</c:f>
              <c:numCache>
                <c:formatCode>0.0</c:formatCode>
                <c:ptCount val="6"/>
                <c:pt idx="0">
                  <c:v>1826</c:v>
                </c:pt>
                <c:pt idx="1">
                  <c:v>1826</c:v>
                </c:pt>
                <c:pt idx="2">
                  <c:v>2400</c:v>
                </c:pt>
                <c:pt idx="3">
                  <c:v>2750</c:v>
                </c:pt>
                <c:pt idx="4">
                  <c:v>2750</c:v>
                </c:pt>
                <c:pt idx="5">
                  <c:v>1826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2B-4C26-AEA6-10E5B579161D}"/>
            </c:ext>
          </c:extLst>
        </c:ser>
        <c:ser>
          <c:idx val="1"/>
          <c:order val="1"/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'Arrow IV'!$N$24:$N$27</c:f>
              <c:numCache>
                <c:formatCode>0.0</c:formatCode>
                <c:ptCount val="4"/>
                <c:pt idx="1">
                  <c:v>89.238815073815076</c:v>
                </c:pt>
                <c:pt idx="2">
                  <c:v>88.986500405515002</c:v>
                </c:pt>
                <c:pt idx="3">
                  <c:v>88.512996500437438</c:v>
                </c:pt>
              </c:numCache>
            </c:numRef>
          </c:xVal>
          <c:yVal>
            <c:numRef>
              <c:f>'Arrow IV'!$O$24:$O$27</c:f>
              <c:numCache>
                <c:formatCode>0.0</c:formatCode>
                <c:ptCount val="4"/>
                <c:pt idx="1">
                  <c:v>2574</c:v>
                </c:pt>
                <c:pt idx="2">
                  <c:v>2466</c:v>
                </c:pt>
                <c:pt idx="3">
                  <c:v>2286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2B-4C26-AEA6-10E5B579161D}"/>
            </c:ext>
          </c:extLst>
        </c:ser>
        <c:ser>
          <c:idx val="2"/>
          <c:order val="2"/>
          <c:tx>
            <c:v>Empty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'Arrow IV'!$N$29</c:f>
              <c:numCache>
                <c:formatCode>0.0</c:formatCode>
                <c:ptCount val="1"/>
                <c:pt idx="0">
                  <c:v>88.108001095290248</c:v>
                </c:pt>
              </c:numCache>
            </c:numRef>
          </c:xVal>
          <c:yVal>
            <c:numRef>
              <c:f>'Arrow IV'!$O$29</c:f>
              <c:numCache>
                <c:formatCode>0.0</c:formatCode>
                <c:ptCount val="1"/>
                <c:pt idx="0">
                  <c:v>1826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82B-4C26-AEA6-10E5B579161D}"/>
            </c:ext>
          </c:extLst>
        </c:ser>
        <c:ser>
          <c:idx val="3"/>
          <c:order val="3"/>
          <c:spPr>
            <a:ln w="38100">
              <a:solidFill>
                <a:srgbClr val="C00000"/>
              </a:solidFill>
            </a:ln>
          </c:spPr>
          <c:marker>
            <c:symbol val="diamond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</c:spPr>
          </c:marker>
          <c:xVal>
            <c:numRef>
              <c:f>'Arrow IV'!$N$31:$N$32</c:f>
              <c:numCache>
                <c:formatCode>0.0</c:formatCode>
                <c:ptCount val="2"/>
                <c:pt idx="0">
                  <c:v>89.238815073815076</c:v>
                </c:pt>
              </c:numCache>
            </c:numRef>
          </c:xVal>
          <c:yVal>
            <c:numRef>
              <c:f>'Arrow IV'!$O$31:$O$32</c:f>
              <c:numCache>
                <c:formatCode>0.0</c:formatCode>
                <c:ptCount val="2"/>
                <c:pt idx="0">
                  <c:v>2574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82B-4C26-AEA6-10E5B5791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846016"/>
        <c:axId val="121864576"/>
      </c:scatterChart>
      <c:valAx>
        <c:axId val="121846016"/>
        <c:scaling>
          <c:orientation val="minMax"/>
          <c:max val="94"/>
          <c:min val="8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864576"/>
        <c:crossesAt val="1400"/>
        <c:crossBetween val="midCat"/>
        <c:majorUnit val="3"/>
        <c:minorUnit val="1"/>
      </c:valAx>
      <c:valAx>
        <c:axId val="121864576"/>
        <c:scaling>
          <c:orientation val="minMax"/>
          <c:max val="2800"/>
          <c:min val="1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846016"/>
        <c:crosses val="autoZero"/>
        <c:crossBetween val="midCat"/>
        <c:majorUnit val="10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88" r="0.75000000000000888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Cougar!#REF!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Cougar!#REF!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E3-4835-B100-86DFC382EC6F}"/>
            </c:ext>
          </c:extLst>
        </c:ser>
        <c:ser>
          <c:idx val="1"/>
          <c:order val="1"/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Cougar!#REF!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Cougar!#REF!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E3-4835-B100-86DFC382E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871744"/>
        <c:axId val="121886208"/>
      </c:scatterChart>
      <c:valAx>
        <c:axId val="121871744"/>
        <c:scaling>
          <c:orientation val="minMax"/>
          <c:max val="88"/>
          <c:min val="72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886208"/>
        <c:crosses val="autoZero"/>
        <c:crossBetween val="midCat"/>
        <c:majorUnit val="2"/>
      </c:valAx>
      <c:valAx>
        <c:axId val="121886208"/>
        <c:scaling>
          <c:orientation val="minMax"/>
          <c:max val="5200"/>
          <c:min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871744"/>
        <c:crosses val="autoZero"/>
        <c:crossBetween val="midCat"/>
        <c:majorUnit val="2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88" r="0.75000000000000888" t="1" header="0.5" footer="0.5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56011730205279"/>
          <c:y val="9.9264705882353046E-2"/>
          <c:w val="0.76832844574780068"/>
          <c:h val="0.76102941176471894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Seneca!$N$14:$N$21</c:f>
              <c:numCache>
                <c:formatCode>0.0</c:formatCode>
                <c:ptCount val="8"/>
                <c:pt idx="0">
                  <c:v>80.7</c:v>
                </c:pt>
                <c:pt idx="1">
                  <c:v>80.7</c:v>
                </c:pt>
                <c:pt idx="2">
                  <c:v>82</c:v>
                </c:pt>
                <c:pt idx="3">
                  <c:v>85</c:v>
                </c:pt>
                <c:pt idx="4">
                  <c:v>88</c:v>
                </c:pt>
                <c:pt idx="5">
                  <c:v>94.6</c:v>
                </c:pt>
                <c:pt idx="6">
                  <c:v>94.6</c:v>
                </c:pt>
                <c:pt idx="7">
                  <c:v>80.7</c:v>
                </c:pt>
              </c:numCache>
            </c:numRef>
          </c:xVal>
          <c:yVal>
            <c:numRef>
              <c:f>Seneca!$O$14:$O$21</c:f>
              <c:numCache>
                <c:formatCode>0.0</c:formatCode>
                <c:ptCount val="8"/>
                <c:pt idx="0">
                  <c:v>2798.4</c:v>
                </c:pt>
                <c:pt idx="1">
                  <c:v>2800</c:v>
                </c:pt>
                <c:pt idx="2">
                  <c:v>3400</c:v>
                </c:pt>
                <c:pt idx="3">
                  <c:v>3800</c:v>
                </c:pt>
                <c:pt idx="4">
                  <c:v>4200</c:v>
                </c:pt>
                <c:pt idx="5">
                  <c:v>4200</c:v>
                </c:pt>
                <c:pt idx="6">
                  <c:v>2798.4</c:v>
                </c:pt>
                <c:pt idx="7">
                  <c:v>2798.4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FA-40B0-8361-AE5D611475DF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Seneca!$N$23:$N$25</c:f>
              <c:numCache>
                <c:formatCode>0.0</c:formatCode>
                <c:ptCount val="3"/>
                <c:pt idx="0">
                  <c:v>87.045353572750827</c:v>
                </c:pt>
                <c:pt idx="1">
                  <c:v>86.830529305730039</c:v>
                </c:pt>
                <c:pt idx="2">
                  <c:v>85.946300642292485</c:v>
                </c:pt>
              </c:numCache>
            </c:numRef>
          </c:xVal>
          <c:yVal>
            <c:numRef>
              <c:f>Seneca!$O$23:$O$25</c:f>
              <c:numCache>
                <c:formatCode>0.0</c:formatCode>
                <c:ptCount val="3"/>
                <c:pt idx="0">
                  <c:v>3781.4</c:v>
                </c:pt>
                <c:pt idx="1">
                  <c:v>3661.4</c:v>
                </c:pt>
                <c:pt idx="2">
                  <c:v>3238.4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FA-40B0-8361-AE5D611475DF}"/>
            </c:ext>
          </c:extLst>
        </c:ser>
        <c:ser>
          <c:idx val="2"/>
          <c:order val="2"/>
          <c:tx>
            <c:v>Empty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bubble3D val="0"/>
            <c:spPr>
              <a:ln w="12700">
                <a:solidFill>
                  <a:srgbClr val="0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2FA-40B0-8361-AE5D611475D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Seneca!$N$26</c:f>
              <c:numCache>
                <c:formatCode>0.0</c:formatCode>
                <c:ptCount val="1"/>
                <c:pt idx="0">
                  <c:v>84.346948256146362</c:v>
                </c:pt>
              </c:numCache>
            </c:numRef>
          </c:xVal>
          <c:yVal>
            <c:numRef>
              <c:f>Seneca!$O$26</c:f>
              <c:numCache>
                <c:formatCode>0.0</c:formatCode>
                <c:ptCount val="1"/>
                <c:pt idx="0">
                  <c:v>2798.4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FA-40B0-8361-AE5D611475DF}"/>
            </c:ext>
          </c:extLst>
        </c:ser>
        <c:ser>
          <c:idx val="3"/>
          <c:order val="3"/>
          <c:spPr>
            <a:ln w="38100">
              <a:solidFill>
                <a:srgbClr val="C00000"/>
              </a:solidFill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Seneca!$N$28:$N$29</c:f>
              <c:numCache>
                <c:formatCode>0.0</c:formatCode>
                <c:ptCount val="2"/>
                <c:pt idx="0">
                  <c:v>87.045353572750827</c:v>
                </c:pt>
              </c:numCache>
            </c:numRef>
          </c:xVal>
          <c:yVal>
            <c:numRef>
              <c:f>Seneca!$O$28:$O$29</c:f>
              <c:numCache>
                <c:formatCode>0.0</c:formatCode>
                <c:ptCount val="2"/>
                <c:pt idx="0">
                  <c:v>3781.4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2FA-40B0-8361-AE5D61147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958400"/>
        <c:axId val="121960320"/>
      </c:scatterChart>
      <c:valAx>
        <c:axId val="121958400"/>
        <c:scaling>
          <c:orientation val="minMax"/>
          <c:max val="96"/>
          <c:min val="8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60320"/>
        <c:crosses val="autoZero"/>
        <c:crossBetween val="midCat"/>
        <c:majorUnit val="2"/>
        <c:minorUnit val="1"/>
      </c:valAx>
      <c:valAx>
        <c:axId val="121960320"/>
        <c:scaling>
          <c:orientation val="minMax"/>
          <c:max val="4600"/>
          <c:min val="2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58400"/>
        <c:crosses val="autoZero"/>
        <c:crossBetween val="midCat"/>
        <c:majorUnit val="200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88" r="0.75000000000000888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52616099094193"/>
          <c:y val="6.5359593048834014E-2"/>
          <c:w val="0.76176579987046167"/>
          <c:h val="0.80392413425543263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Lit>
              <c:formatCode>General</c:formatCode>
              <c:ptCount val="6"/>
              <c:pt idx="0">
                <c:v>33.050000000000004</c:v>
              </c:pt>
              <c:pt idx="1">
                <c:v>30.4</c:v>
              </c:pt>
              <c:pt idx="2">
                <c:v>48</c:v>
              </c:pt>
              <c:pt idx="3">
                <c:v>50.1</c:v>
              </c:pt>
              <c:pt idx="4">
                <c:v>32.800000000000004</c:v>
              </c:pt>
              <c:pt idx="5">
                <c:v>30.4</c:v>
              </c:pt>
            </c:numLit>
          </c:xVal>
          <c:yVal>
            <c:numLit>
              <c:formatCode>General</c:formatCode>
              <c:ptCount val="6"/>
              <c:pt idx="0">
                <c:v>2200</c:v>
              </c:pt>
              <c:pt idx="1">
                <c:v>2200</c:v>
              </c:pt>
              <c:pt idx="2">
                <c:v>3400</c:v>
              </c:pt>
              <c:pt idx="3">
                <c:v>3400</c:v>
              </c:pt>
              <c:pt idx="4">
                <c:v>2200</c:v>
              </c:pt>
              <c:pt idx="5">
                <c:v>2200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7299-452D-B993-60825A14BCF4}"/>
            </c:ext>
          </c:extLst>
        </c:ser>
        <c:ser>
          <c:idx val="2"/>
          <c:order val="1"/>
          <c:tx>
            <c:v>Empty</c:v>
          </c:tx>
          <c:spPr>
            <a:ln>
              <a:solidFill>
                <a:schemeClr val="tx1"/>
              </a:solidFill>
            </a:ln>
          </c:spPr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33.232602000000163</c:v>
              </c:pt>
            </c:numLit>
          </c:xVal>
          <c:yVal>
            <c:numLit>
              <c:formatCode>General</c:formatCode>
              <c:ptCount val="1"/>
              <c:pt idx="0">
                <c:v>2379.6799999999998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7299-452D-B993-60825A14BCF4}"/>
            </c:ext>
          </c:extLst>
        </c:ser>
        <c:ser>
          <c:idx val="3"/>
          <c:order val="2"/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rgbClr val="00B050"/>
                </a:solidFill>
              </a:ln>
            </c:spPr>
          </c:marker>
          <c:xVal>
            <c:numLit>
              <c:formatCode>General</c:formatCode>
              <c:ptCount val="3"/>
              <c:pt idx="0">
                <c:v>46.705302000000593</c:v>
              </c:pt>
              <c:pt idx="1">
                <c:v>45.775902000000535</c:v>
              </c:pt>
              <c:pt idx="2">
                <c:v>39.270102000000463</c:v>
              </c:pt>
            </c:numLit>
          </c:xVal>
          <c:yVal>
            <c:numLit>
              <c:formatCode>General</c:formatCode>
              <c:ptCount val="3"/>
              <c:pt idx="0">
                <c:v>3279.68</c:v>
              </c:pt>
              <c:pt idx="1">
                <c:v>3219.68</c:v>
              </c:pt>
              <c:pt idx="2">
                <c:v>2799.68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7299-452D-B993-60825A14BCF4}"/>
            </c:ext>
          </c:extLst>
        </c:ser>
        <c:ser>
          <c:idx val="4"/>
          <c:order val="3"/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Lit>
              <c:formatCode>General</c:formatCode>
              <c:ptCount val="4"/>
              <c:pt idx="0">
                <c:v>46</c:v>
              </c:pt>
              <c:pt idx="1">
                <c:v>49</c:v>
              </c:pt>
              <c:pt idx="2">
                <c:v>48</c:v>
              </c:pt>
              <c:pt idx="3">
                <c:v>46</c:v>
              </c:pt>
            </c:numLit>
          </c:xVal>
          <c:yVal>
            <c:numLit>
              <c:formatCode>General</c:formatCode>
              <c:ptCount val="4"/>
              <c:pt idx="0">
                <c:v>3250</c:v>
              </c:pt>
              <c:pt idx="1">
                <c:v>3400</c:v>
              </c:pt>
              <c:pt idx="2">
                <c:v>3400</c:v>
              </c:pt>
              <c:pt idx="3">
                <c:v>3250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7299-452D-B993-60825A14BCF4}"/>
            </c:ext>
          </c:extLst>
        </c:ser>
        <c:ser>
          <c:idx val="5"/>
          <c:order val="4"/>
          <c:marker>
            <c:symbol val="none"/>
          </c:marker>
          <c:xVal>
            <c:numLit>
              <c:formatCode>General</c:formatCode>
              <c:ptCount val="3"/>
              <c:pt idx="0">
                <c:v>46.705302000000593</c:v>
              </c:pt>
              <c:pt idx="1">
                <c:v>45.775902000000535</c:v>
              </c:pt>
              <c:pt idx="2">
                <c:v>39.270102000000463</c:v>
              </c:pt>
            </c:numLit>
          </c:xVal>
          <c:yVal>
            <c:numLit>
              <c:formatCode>General</c:formatCode>
              <c:ptCount val="3"/>
              <c:pt idx="0">
                <c:v>3279.68</c:v>
              </c:pt>
              <c:pt idx="1">
                <c:v>3219.68</c:v>
              </c:pt>
              <c:pt idx="2">
                <c:v>2799.68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7299-452D-B993-60825A14B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824384"/>
        <c:axId val="121825920"/>
      </c:scatterChart>
      <c:valAx>
        <c:axId val="121824384"/>
        <c:scaling>
          <c:orientation val="minMax"/>
          <c:max val="55"/>
          <c:min val="30"/>
        </c:scaling>
        <c:delete val="0"/>
        <c:axPos val="b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825920"/>
        <c:crossesAt val="2000"/>
        <c:crossBetween val="midCat"/>
        <c:majorUnit val="5"/>
        <c:minorUnit val="1"/>
      </c:valAx>
      <c:valAx>
        <c:axId val="121825920"/>
        <c:scaling>
          <c:orientation val="minMax"/>
          <c:max val="3600"/>
          <c:min val="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824384"/>
        <c:crosses val="autoZero"/>
        <c:crossBetween val="midCat"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88" r="0.75000000000000888" t="1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952616099094193"/>
          <c:y val="6.5359593048834014E-2"/>
          <c:w val="0.76176579987046167"/>
          <c:h val="0.80392413425543263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'SR22 G1&amp;2'!$N$16:$N$21</c:f>
              <c:numCache>
                <c:formatCode>0.0</c:formatCode>
                <c:ptCount val="6"/>
                <c:pt idx="0">
                  <c:v>148.18</c:v>
                </c:pt>
                <c:pt idx="1">
                  <c:v>138.18</c:v>
                </c:pt>
                <c:pt idx="2">
                  <c:v>142.06</c:v>
                </c:pt>
                <c:pt idx="3">
                  <c:v>148.24</c:v>
                </c:pt>
                <c:pt idx="4">
                  <c:v>148.18</c:v>
                </c:pt>
                <c:pt idx="5">
                  <c:v>138.18</c:v>
                </c:pt>
              </c:numCache>
            </c:numRef>
          </c:xVal>
          <c:yVal>
            <c:numRef>
              <c:f>'SR22 G1&amp;2'!$O$16:$O$21</c:f>
              <c:numCache>
                <c:formatCode>0.0</c:formatCode>
                <c:ptCount val="6"/>
                <c:pt idx="0">
                  <c:v>2200</c:v>
                </c:pt>
                <c:pt idx="1">
                  <c:v>2200</c:v>
                </c:pt>
                <c:pt idx="2">
                  <c:v>3400</c:v>
                </c:pt>
                <c:pt idx="3">
                  <c:v>3400</c:v>
                </c:pt>
                <c:pt idx="4">
                  <c:v>2200</c:v>
                </c:pt>
                <c:pt idx="5">
                  <c:v>2200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E1-424A-BB7D-A95B0A563E5D}"/>
            </c:ext>
          </c:extLst>
        </c:ser>
        <c:ser>
          <c:idx val="2"/>
          <c:order val="1"/>
          <c:tx>
            <c:v>Empty</c:v>
          </c:tx>
          <c:spPr>
            <a:ln>
              <a:solidFill>
                <a:schemeClr val="tx1"/>
              </a:solidFill>
            </a:ln>
          </c:spPr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'SR22 G1&amp;2'!$N$32</c:f>
              <c:numCache>
                <c:formatCode>0.0</c:formatCode>
                <c:ptCount val="1"/>
                <c:pt idx="0">
                  <c:v>140.08596378546912</c:v>
                </c:pt>
              </c:numCache>
            </c:numRef>
          </c:xVal>
          <c:yVal>
            <c:numRef>
              <c:f>'SR22 G1&amp;2'!$O$32</c:f>
              <c:numCache>
                <c:formatCode>0.0</c:formatCode>
                <c:ptCount val="1"/>
                <c:pt idx="0">
                  <c:v>2350.9899999999998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E1-424A-BB7D-A95B0A563E5D}"/>
            </c:ext>
          </c:extLst>
        </c:ser>
        <c:ser>
          <c:idx val="3"/>
          <c:order val="2"/>
          <c:tx>
            <c:v>Caution Area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EDE1-424A-BB7D-A95B0A563E5D}"/>
              </c:ext>
            </c:extLst>
          </c:dPt>
          <c:dPt>
            <c:idx val="2"/>
            <c:bubble3D val="0"/>
            <c:spPr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DE1-424A-BB7D-A95B0A563E5D}"/>
              </c:ext>
            </c:extLst>
          </c:dPt>
          <c:dPt>
            <c:idx val="3"/>
            <c:bubble3D val="0"/>
            <c:spPr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EDE1-424A-BB7D-A95B0A563E5D}"/>
              </c:ext>
            </c:extLst>
          </c:dPt>
          <c:xVal>
            <c:numRef>
              <c:f>'SR22 G1&amp;2'!$N$23:$N$26</c:f>
              <c:numCache>
                <c:formatCode>0.0</c:formatCode>
                <c:ptCount val="4"/>
                <c:pt idx="0">
                  <c:v>141.54</c:v>
                </c:pt>
                <c:pt idx="1">
                  <c:v>144</c:v>
                </c:pt>
                <c:pt idx="2">
                  <c:v>142.1</c:v>
                </c:pt>
                <c:pt idx="3">
                  <c:v>141.54</c:v>
                </c:pt>
              </c:numCache>
            </c:numRef>
          </c:xVal>
          <c:yVal>
            <c:numRef>
              <c:f>'SR22 G1&amp;2'!$O$23:$O$26</c:f>
              <c:numCache>
                <c:formatCode>0.0</c:formatCode>
                <c:ptCount val="4"/>
                <c:pt idx="0">
                  <c:v>3250</c:v>
                </c:pt>
                <c:pt idx="1">
                  <c:v>3400</c:v>
                </c:pt>
                <c:pt idx="2">
                  <c:v>3400</c:v>
                </c:pt>
                <c:pt idx="3">
                  <c:v>3250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DE1-424A-BB7D-A95B0A563E5D}"/>
            </c:ext>
          </c:extLst>
        </c:ser>
        <c:ser>
          <c:idx val="4"/>
          <c:order val="3"/>
          <c:tx>
            <c:v>WB Line</c:v>
          </c:tx>
          <c:spPr>
            <a:ln>
              <a:solidFill>
                <a:srgbClr val="FFC000"/>
              </a:solidFill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</c:spPr>
          </c:marker>
          <c:xVal>
            <c:numRef>
              <c:f>'SR22 G1&amp;2'!$N$28:$N$30</c:f>
              <c:numCache>
                <c:formatCode>0.0</c:formatCode>
                <c:ptCount val="3"/>
                <c:pt idx="0">
                  <c:v>145.86675593627618</c:v>
                </c:pt>
                <c:pt idx="1">
                  <c:v>145.52274047204213</c:v>
                </c:pt>
                <c:pt idx="2">
                  <c:v>145.05403216938413</c:v>
                </c:pt>
              </c:numCache>
            </c:numRef>
          </c:xVal>
          <c:yVal>
            <c:numRef>
              <c:f>'SR22 G1&amp;2'!$O$28:$O$30</c:f>
              <c:numCache>
                <c:formatCode>0.0</c:formatCode>
                <c:ptCount val="3"/>
                <c:pt idx="0">
                  <c:v>3270.99</c:v>
                </c:pt>
                <c:pt idx="1">
                  <c:v>3150.99</c:v>
                </c:pt>
                <c:pt idx="2">
                  <c:v>3000.99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DE1-424A-BB7D-A95B0A563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063168"/>
        <c:axId val="149065088"/>
      </c:scatterChart>
      <c:valAx>
        <c:axId val="149063168"/>
        <c:scaling>
          <c:orientation val="minMax"/>
          <c:max val="150"/>
          <c:min val="136"/>
        </c:scaling>
        <c:delete val="0"/>
        <c:axPos val="b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065088"/>
        <c:crossesAt val="2000"/>
        <c:crossBetween val="midCat"/>
        <c:majorUnit val="2"/>
        <c:minorUnit val="1"/>
      </c:valAx>
      <c:valAx>
        <c:axId val="149065088"/>
        <c:scaling>
          <c:orientation val="minMax"/>
          <c:max val="3600"/>
          <c:min val="2000"/>
        </c:scaling>
        <c:delete val="0"/>
        <c:axPos val="l"/>
        <c:majorGridlines>
          <c:spPr>
            <a:ln w="3175">
              <a:solidFill>
                <a:srgbClr val="000000">
                  <a:alpha val="89000"/>
                </a:srgb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063168"/>
        <c:crosses val="autoZero"/>
        <c:crossBetween val="midCat"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88" r="0.75000000000000888" t="1" header="0.5" footer="0.5"/>
    <c:pageSetup orientation="landscape"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52616099094193"/>
          <c:y val="6.5359593048834014E-2"/>
          <c:w val="0.76176579987046167"/>
          <c:h val="0.80392413425543263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Lit>
              <c:formatCode>General</c:formatCode>
              <c:ptCount val="6"/>
              <c:pt idx="0">
                <c:v>33.050000000000004</c:v>
              </c:pt>
              <c:pt idx="1">
                <c:v>30.4</c:v>
              </c:pt>
              <c:pt idx="2">
                <c:v>48</c:v>
              </c:pt>
              <c:pt idx="3">
                <c:v>50.1</c:v>
              </c:pt>
              <c:pt idx="4">
                <c:v>32.800000000000004</c:v>
              </c:pt>
              <c:pt idx="5">
                <c:v>30.4</c:v>
              </c:pt>
            </c:numLit>
          </c:xVal>
          <c:yVal>
            <c:numLit>
              <c:formatCode>General</c:formatCode>
              <c:ptCount val="6"/>
              <c:pt idx="0">
                <c:v>2200</c:v>
              </c:pt>
              <c:pt idx="1">
                <c:v>2200</c:v>
              </c:pt>
              <c:pt idx="2">
                <c:v>3400</c:v>
              </c:pt>
              <c:pt idx="3">
                <c:v>3400</c:v>
              </c:pt>
              <c:pt idx="4">
                <c:v>2200</c:v>
              </c:pt>
              <c:pt idx="5">
                <c:v>2200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9CF2-45BE-9A00-6EA7786F9EF9}"/>
            </c:ext>
          </c:extLst>
        </c:ser>
        <c:ser>
          <c:idx val="2"/>
          <c:order val="1"/>
          <c:tx>
            <c:v>Empty</c:v>
          </c:tx>
          <c:spPr>
            <a:ln>
              <a:solidFill>
                <a:schemeClr val="tx1"/>
              </a:solidFill>
            </a:ln>
          </c:spPr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33.232602000000163</c:v>
              </c:pt>
            </c:numLit>
          </c:xVal>
          <c:yVal>
            <c:numLit>
              <c:formatCode>General</c:formatCode>
              <c:ptCount val="1"/>
              <c:pt idx="0">
                <c:v>2379.6799999999998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9CF2-45BE-9A00-6EA7786F9EF9}"/>
            </c:ext>
          </c:extLst>
        </c:ser>
        <c:ser>
          <c:idx val="3"/>
          <c:order val="2"/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rgbClr val="00B050"/>
                </a:solidFill>
              </a:ln>
            </c:spPr>
          </c:marker>
          <c:xVal>
            <c:numLit>
              <c:formatCode>General</c:formatCode>
              <c:ptCount val="3"/>
              <c:pt idx="0">
                <c:v>46.705302000000593</c:v>
              </c:pt>
              <c:pt idx="1">
                <c:v>45.775902000000535</c:v>
              </c:pt>
              <c:pt idx="2">
                <c:v>39.270102000000463</c:v>
              </c:pt>
            </c:numLit>
          </c:xVal>
          <c:yVal>
            <c:numLit>
              <c:formatCode>General</c:formatCode>
              <c:ptCount val="3"/>
              <c:pt idx="0">
                <c:v>3279.68</c:v>
              </c:pt>
              <c:pt idx="1">
                <c:v>3219.68</c:v>
              </c:pt>
              <c:pt idx="2">
                <c:v>2799.68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9CF2-45BE-9A00-6EA7786F9EF9}"/>
            </c:ext>
          </c:extLst>
        </c:ser>
        <c:ser>
          <c:idx val="4"/>
          <c:order val="3"/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Lit>
              <c:formatCode>General</c:formatCode>
              <c:ptCount val="4"/>
              <c:pt idx="0">
                <c:v>46</c:v>
              </c:pt>
              <c:pt idx="1">
                <c:v>49</c:v>
              </c:pt>
              <c:pt idx="2">
                <c:v>48</c:v>
              </c:pt>
              <c:pt idx="3">
                <c:v>46</c:v>
              </c:pt>
            </c:numLit>
          </c:xVal>
          <c:yVal>
            <c:numLit>
              <c:formatCode>General</c:formatCode>
              <c:ptCount val="4"/>
              <c:pt idx="0">
                <c:v>3250</c:v>
              </c:pt>
              <c:pt idx="1">
                <c:v>3400</c:v>
              </c:pt>
              <c:pt idx="2">
                <c:v>3400</c:v>
              </c:pt>
              <c:pt idx="3">
                <c:v>3250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9CF2-45BE-9A00-6EA7786F9EF9}"/>
            </c:ext>
          </c:extLst>
        </c:ser>
        <c:ser>
          <c:idx val="5"/>
          <c:order val="4"/>
          <c:marker>
            <c:symbol val="none"/>
          </c:marker>
          <c:xVal>
            <c:numLit>
              <c:formatCode>General</c:formatCode>
              <c:ptCount val="3"/>
              <c:pt idx="0">
                <c:v>46.705302000000593</c:v>
              </c:pt>
              <c:pt idx="1">
                <c:v>45.775902000000535</c:v>
              </c:pt>
              <c:pt idx="2">
                <c:v>39.270102000000463</c:v>
              </c:pt>
            </c:numLit>
          </c:xVal>
          <c:yVal>
            <c:numLit>
              <c:formatCode>General</c:formatCode>
              <c:ptCount val="3"/>
              <c:pt idx="0">
                <c:v>3279.68</c:v>
              </c:pt>
              <c:pt idx="1">
                <c:v>3219.68</c:v>
              </c:pt>
              <c:pt idx="2">
                <c:v>2799.68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9CF2-45BE-9A00-6EA7786F9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224448"/>
        <c:axId val="149107456"/>
      </c:scatterChart>
      <c:valAx>
        <c:axId val="149224448"/>
        <c:scaling>
          <c:orientation val="minMax"/>
          <c:max val="55"/>
          <c:min val="30"/>
        </c:scaling>
        <c:delete val="0"/>
        <c:axPos val="b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107456"/>
        <c:crossesAt val="2000"/>
        <c:crossBetween val="midCat"/>
        <c:majorUnit val="5"/>
        <c:minorUnit val="1"/>
      </c:valAx>
      <c:valAx>
        <c:axId val="149107456"/>
        <c:scaling>
          <c:orientation val="minMax"/>
          <c:max val="3600"/>
          <c:min val="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224448"/>
        <c:crosses val="autoZero"/>
        <c:crossBetween val="midCat"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88" r="0.75000000000000888" t="1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952616099094193"/>
          <c:y val="6.5359593048834014E-2"/>
          <c:w val="0.76176579987046167"/>
          <c:h val="0.80392413425543263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'SR22 G3'!$N$16:$N$21</c:f>
              <c:numCache>
                <c:formatCode>0.0</c:formatCode>
                <c:ptCount val="6"/>
                <c:pt idx="0">
                  <c:v>148.1</c:v>
                </c:pt>
                <c:pt idx="1">
                  <c:v>137.80000000000001</c:v>
                </c:pt>
                <c:pt idx="2">
                  <c:v>139.1</c:v>
                </c:pt>
                <c:pt idx="3">
                  <c:v>142.30000000000001</c:v>
                </c:pt>
                <c:pt idx="4">
                  <c:v>148.1</c:v>
                </c:pt>
                <c:pt idx="5">
                  <c:v>148.1</c:v>
                </c:pt>
              </c:numCache>
            </c:numRef>
          </c:xVal>
          <c:yVal>
            <c:numRef>
              <c:f>'SR22 G3'!$O$16:$O$21</c:f>
              <c:numCache>
                <c:formatCode>0.0</c:formatCode>
                <c:ptCount val="6"/>
                <c:pt idx="0">
                  <c:v>2100</c:v>
                </c:pt>
                <c:pt idx="1">
                  <c:v>2100</c:v>
                </c:pt>
                <c:pt idx="2">
                  <c:v>2700</c:v>
                </c:pt>
                <c:pt idx="3">
                  <c:v>3400</c:v>
                </c:pt>
                <c:pt idx="4">
                  <c:v>3400</c:v>
                </c:pt>
                <c:pt idx="5">
                  <c:v>2100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9A-401C-93B1-D7C8414AC539}"/>
            </c:ext>
          </c:extLst>
        </c:ser>
        <c:ser>
          <c:idx val="2"/>
          <c:order val="1"/>
          <c:tx>
            <c:v>Empty</c:v>
          </c:tx>
          <c:spPr>
            <a:ln>
              <a:solidFill>
                <a:schemeClr val="tx1"/>
              </a:solidFill>
            </a:ln>
          </c:spPr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'SR22 G3'!$N$32</c:f>
              <c:numCache>
                <c:formatCode>0.0</c:formatCode>
                <c:ptCount val="1"/>
                <c:pt idx="0">
                  <c:v>138.50052798310455</c:v>
                </c:pt>
              </c:numCache>
            </c:numRef>
          </c:xVal>
          <c:yVal>
            <c:numRef>
              <c:f>'SR22 G3'!$O$32</c:f>
              <c:numCache>
                <c:formatCode>0.0</c:formatCode>
                <c:ptCount val="1"/>
                <c:pt idx="0">
                  <c:v>2367.5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9A-401C-93B1-D7C8414AC539}"/>
            </c:ext>
          </c:extLst>
        </c:ser>
        <c:ser>
          <c:idx val="3"/>
          <c:order val="2"/>
          <c:tx>
            <c:v>Caution Area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4A9A-401C-93B1-D7C8414AC539}"/>
              </c:ext>
            </c:extLst>
          </c:dPt>
          <c:dPt>
            <c:idx val="2"/>
            <c:bubble3D val="0"/>
            <c:spPr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A9A-401C-93B1-D7C8414AC539}"/>
              </c:ext>
            </c:extLst>
          </c:dPt>
          <c:dPt>
            <c:idx val="3"/>
            <c:bubble3D val="0"/>
            <c:spPr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4A9A-401C-93B1-D7C8414AC539}"/>
              </c:ext>
            </c:extLst>
          </c:dPt>
          <c:xVal>
            <c:numRef>
              <c:f>'SR22 G3'!$N$23:$N$26</c:f>
              <c:numCache>
                <c:formatCode>0.0</c:formatCode>
                <c:ptCount val="4"/>
              </c:numCache>
            </c:numRef>
          </c:xVal>
          <c:yVal>
            <c:numRef>
              <c:f>'SR22 G3'!$O$23:$O$26</c:f>
              <c:numCache>
                <c:formatCode>0.0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A9A-401C-93B1-D7C8414AC539}"/>
            </c:ext>
          </c:extLst>
        </c:ser>
        <c:ser>
          <c:idx val="4"/>
          <c:order val="3"/>
          <c:tx>
            <c:v>WB Line</c:v>
          </c:tx>
          <c:spPr>
            <a:ln>
              <a:solidFill>
                <a:srgbClr val="FFC000"/>
              </a:solidFill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</c:spPr>
          </c:marker>
          <c:xVal>
            <c:numRef>
              <c:f>'SR22 G3'!$N$28:$N$30</c:f>
              <c:numCache>
                <c:formatCode>0.0</c:formatCode>
                <c:ptCount val="3"/>
                <c:pt idx="0">
                  <c:v>142.56969242310578</c:v>
                </c:pt>
                <c:pt idx="1">
                  <c:v>142.10910505836577</c:v>
                </c:pt>
                <c:pt idx="2">
                  <c:v>140.18531781557743</c:v>
                </c:pt>
              </c:numCache>
            </c:numRef>
          </c:xVal>
          <c:yVal>
            <c:numRef>
              <c:f>'SR22 G3'!$O$28:$O$30</c:f>
              <c:numCache>
                <c:formatCode>0.0</c:formatCode>
                <c:ptCount val="3"/>
                <c:pt idx="0">
                  <c:v>3332.5</c:v>
                </c:pt>
                <c:pt idx="1">
                  <c:v>3212.5</c:v>
                </c:pt>
                <c:pt idx="2">
                  <c:v>2792.5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A9A-401C-93B1-D7C8414AC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138816"/>
        <c:axId val="149308928"/>
      </c:scatterChart>
      <c:valAx>
        <c:axId val="149138816"/>
        <c:scaling>
          <c:orientation val="minMax"/>
          <c:max val="150"/>
          <c:min val="136"/>
        </c:scaling>
        <c:delete val="0"/>
        <c:axPos val="b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308928"/>
        <c:crossesAt val="2000"/>
        <c:crossBetween val="midCat"/>
        <c:majorUnit val="2"/>
        <c:minorUnit val="1"/>
      </c:valAx>
      <c:valAx>
        <c:axId val="149308928"/>
        <c:scaling>
          <c:orientation val="minMax"/>
          <c:max val="3600"/>
          <c:min val="2000"/>
        </c:scaling>
        <c:delete val="0"/>
        <c:axPos val="l"/>
        <c:majorGridlines>
          <c:spPr>
            <a:ln w="3175">
              <a:solidFill>
                <a:srgbClr val="000000">
                  <a:alpha val="89000"/>
                </a:srgb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138816"/>
        <c:crosses val="autoZero"/>
        <c:crossBetween val="midCat"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88" r="0.75000000000000888" t="1" header="0.5" footer="0.5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00021541850789"/>
          <c:y val="8.0357376410715498E-2"/>
          <c:w val="0.77353052264839695"/>
          <c:h val="0.80654996323348882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'C207T'!$N$14:$N$21</c:f>
              <c:numCache>
                <c:formatCode>0.0</c:formatCode>
                <c:ptCount val="8"/>
                <c:pt idx="0">
                  <c:v>62</c:v>
                </c:pt>
                <c:pt idx="1">
                  <c:v>100</c:v>
                </c:pt>
                <c:pt idx="2">
                  <c:v>192</c:v>
                </c:pt>
                <c:pt idx="3">
                  <c:v>163</c:v>
                </c:pt>
                <c:pt idx="5">
                  <c:v>163</c:v>
                </c:pt>
                <c:pt idx="6">
                  <c:v>80.5</c:v>
                </c:pt>
                <c:pt idx="7">
                  <c:v>62</c:v>
                </c:pt>
              </c:numCache>
            </c:numRef>
          </c:xVal>
          <c:yVal>
            <c:numRef>
              <c:f>'C207T'!$O$14:$O$21</c:f>
              <c:numCache>
                <c:formatCode>0.0</c:formatCode>
                <c:ptCount val="8"/>
                <c:pt idx="0">
                  <c:v>2000</c:v>
                </c:pt>
                <c:pt idx="1">
                  <c:v>2000</c:v>
                </c:pt>
                <c:pt idx="2">
                  <c:v>3800</c:v>
                </c:pt>
                <c:pt idx="3">
                  <c:v>3800</c:v>
                </c:pt>
                <c:pt idx="5">
                  <c:v>3800</c:v>
                </c:pt>
                <c:pt idx="6">
                  <c:v>2600</c:v>
                </c:pt>
                <c:pt idx="7">
                  <c:v>2000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8E-4848-B73D-F5DB4F5DBA71}"/>
            </c:ext>
          </c:extLst>
        </c:ser>
        <c:ser>
          <c:idx val="1"/>
          <c:order val="1"/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'C207T'!$N$24:$N$26</c:f>
              <c:numCache>
                <c:formatCode>0.0</c:formatCode>
                <c:ptCount val="3"/>
                <c:pt idx="1">
                  <c:v>119.80329</c:v>
                </c:pt>
                <c:pt idx="2">
                  <c:v>114.04329</c:v>
                </c:pt>
              </c:numCache>
            </c:numRef>
          </c:xVal>
          <c:yVal>
            <c:numRef>
              <c:f>'C207T'!$O$24:$O$26</c:f>
              <c:numCache>
                <c:formatCode>0.0</c:formatCode>
                <c:ptCount val="3"/>
                <c:pt idx="1">
                  <c:v>3159.2</c:v>
                </c:pt>
                <c:pt idx="2">
                  <c:v>3039.2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8E-4848-B73D-F5DB4F5DBA71}"/>
            </c:ext>
          </c:extLst>
        </c:ser>
        <c:ser>
          <c:idx val="2"/>
          <c:order val="2"/>
          <c:tx>
            <c:v>Empty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ymbol val="triangle"/>
              <c:size val="8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E08E-4848-B73D-F5DB4F5DBA71}"/>
              </c:ext>
            </c:extLst>
          </c:dPt>
          <c:xVal>
            <c:numRef>
              <c:f>'C207T'!$N$28</c:f>
              <c:numCache>
                <c:formatCode>0.0</c:formatCode>
                <c:ptCount val="1"/>
                <c:pt idx="0">
                  <c:v>32.509999102817154</c:v>
                </c:pt>
              </c:numCache>
            </c:numRef>
          </c:xVal>
          <c:yVal>
            <c:numRef>
              <c:f>'C207T'!$O$28</c:f>
              <c:numCache>
                <c:formatCode>0.0</c:formatCode>
                <c:ptCount val="1"/>
                <c:pt idx="0">
                  <c:v>2229.1999999999998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08E-4848-B73D-F5DB4F5DBA71}"/>
            </c:ext>
          </c:extLst>
        </c:ser>
        <c:ser>
          <c:idx val="3"/>
          <c:order val="3"/>
          <c:spPr>
            <a:ln w="38100">
              <a:solidFill>
                <a:srgbClr val="C00000"/>
              </a:solidFill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'C207T'!$N$30:$N$31</c:f>
              <c:numCache>
                <c:formatCode>0.0</c:formatCode>
                <c:ptCount val="2"/>
              </c:numCache>
            </c:numRef>
          </c:xVal>
          <c:yVal>
            <c:numRef>
              <c:f>'C207T'!$O$30:$O$31</c:f>
              <c:numCache>
                <c:formatCode>0.0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08E-4848-B73D-F5DB4F5DB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285888"/>
        <c:axId val="149288064"/>
      </c:scatterChart>
      <c:valAx>
        <c:axId val="149285888"/>
        <c:scaling>
          <c:orientation val="minMax"/>
          <c:max val="192"/>
          <c:min val="5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288064"/>
        <c:crossesAt val="1400"/>
        <c:crossBetween val="midCat"/>
        <c:majorUnit val="20"/>
        <c:minorUnit val="10"/>
      </c:valAx>
      <c:valAx>
        <c:axId val="149288064"/>
        <c:scaling>
          <c:orientation val="minMax"/>
          <c:max val="4000"/>
          <c:min val="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285888"/>
        <c:crosses val="autoZero"/>
        <c:crossBetween val="midCat"/>
        <c:majorUnit val="10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88" r="0.75000000000000888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56011730205279"/>
          <c:y val="9.9264705882353046E-2"/>
          <c:w val="0.76832844574780068"/>
          <c:h val="0.76102941176471894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Aztec!$N$13:$N$30</c:f>
              <c:numCache>
                <c:formatCode>0.0</c:formatCode>
                <c:ptCount val="18"/>
                <c:pt idx="0">
                  <c:v>100.5</c:v>
                </c:pt>
                <c:pt idx="1">
                  <c:v>85.7</c:v>
                </c:pt>
                <c:pt idx="2">
                  <c:v>86</c:v>
                </c:pt>
                <c:pt idx="3">
                  <c:v>87</c:v>
                </c:pt>
                <c:pt idx="4">
                  <c:v>88</c:v>
                </c:pt>
                <c:pt idx="5">
                  <c:v>89</c:v>
                </c:pt>
                <c:pt idx="6">
                  <c:v>90</c:v>
                </c:pt>
                <c:pt idx="7">
                  <c:v>91</c:v>
                </c:pt>
                <c:pt idx="8">
                  <c:v>92</c:v>
                </c:pt>
                <c:pt idx="9">
                  <c:v>93</c:v>
                </c:pt>
                <c:pt idx="10">
                  <c:v>94</c:v>
                </c:pt>
                <c:pt idx="11">
                  <c:v>95</c:v>
                </c:pt>
                <c:pt idx="12">
                  <c:v>96</c:v>
                </c:pt>
                <c:pt idx="13">
                  <c:v>97</c:v>
                </c:pt>
                <c:pt idx="14">
                  <c:v>98</c:v>
                </c:pt>
                <c:pt idx="15">
                  <c:v>99</c:v>
                </c:pt>
                <c:pt idx="16">
                  <c:v>100.5</c:v>
                </c:pt>
                <c:pt idx="17">
                  <c:v>100.5</c:v>
                </c:pt>
              </c:numCache>
            </c:numRef>
          </c:xVal>
          <c:yVal>
            <c:numRef>
              <c:f>Aztec!$O$13:$O$30</c:f>
              <c:numCache>
                <c:formatCode>0.0</c:formatCode>
                <c:ptCount val="18"/>
                <c:pt idx="0">
                  <c:v>3225</c:v>
                </c:pt>
                <c:pt idx="1">
                  <c:v>3225</c:v>
                </c:pt>
                <c:pt idx="2">
                  <c:v>3300</c:v>
                </c:pt>
                <c:pt idx="3">
                  <c:v>3450</c:v>
                </c:pt>
                <c:pt idx="4">
                  <c:v>3600</c:v>
                </c:pt>
                <c:pt idx="5">
                  <c:v>3750</c:v>
                </c:pt>
                <c:pt idx="6">
                  <c:v>3910</c:v>
                </c:pt>
                <c:pt idx="7">
                  <c:v>4060</c:v>
                </c:pt>
                <c:pt idx="8">
                  <c:v>4210</c:v>
                </c:pt>
                <c:pt idx="9">
                  <c:v>4390</c:v>
                </c:pt>
                <c:pt idx="10">
                  <c:v>4525</c:v>
                </c:pt>
                <c:pt idx="11">
                  <c:v>4700</c:v>
                </c:pt>
                <c:pt idx="12">
                  <c:v>4840</c:v>
                </c:pt>
                <c:pt idx="13">
                  <c:v>4990</c:v>
                </c:pt>
                <c:pt idx="14">
                  <c:v>5100</c:v>
                </c:pt>
                <c:pt idx="15">
                  <c:v>5200</c:v>
                </c:pt>
                <c:pt idx="16">
                  <c:v>5200</c:v>
                </c:pt>
                <c:pt idx="17">
                  <c:v>3225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92-494E-94BA-E108F2B29F90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Aztec!$N$32:$N$34</c:f>
              <c:numCache>
                <c:formatCode>0.0</c:formatCode>
                <c:ptCount val="3"/>
                <c:pt idx="0">
                  <c:v>97.209444069322529</c:v>
                </c:pt>
                <c:pt idx="1">
                  <c:v>96.016838537884283</c:v>
                </c:pt>
                <c:pt idx="2">
                  <c:v>94.155878787878791</c:v>
                </c:pt>
              </c:numCache>
            </c:numRef>
          </c:xVal>
          <c:yVal>
            <c:numRef>
              <c:f>Aztec!$O$32:$O$34</c:f>
              <c:numCache>
                <c:formatCode>0.0</c:formatCode>
                <c:ptCount val="3"/>
                <c:pt idx="0">
                  <c:v>4443</c:v>
                </c:pt>
                <c:pt idx="1">
                  <c:v>4131</c:v>
                </c:pt>
                <c:pt idx="2">
                  <c:v>3795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92-494E-94BA-E108F2B29F90}"/>
            </c:ext>
          </c:extLst>
        </c:ser>
        <c:ser>
          <c:idx val="2"/>
          <c:order val="2"/>
          <c:tx>
            <c:v>Empty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bubble3D val="0"/>
            <c:spPr>
              <a:ln w="12700">
                <a:solidFill>
                  <a:srgbClr val="0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592-494E-94BA-E108F2B29F9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Aztec!$N$36</c:f>
              <c:numCache>
                <c:formatCode>0.0</c:formatCode>
                <c:ptCount val="1"/>
                <c:pt idx="0">
                  <c:v>91.615987596899231</c:v>
                </c:pt>
              </c:numCache>
            </c:numRef>
          </c:xVal>
          <c:yVal>
            <c:numRef>
              <c:f>Aztec!$O$36</c:f>
              <c:numCache>
                <c:formatCode>0.0</c:formatCode>
                <c:ptCount val="1"/>
                <c:pt idx="0">
                  <c:v>3225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592-494E-94BA-E108F2B29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405056"/>
        <c:axId val="149415040"/>
      </c:scatterChart>
      <c:valAx>
        <c:axId val="149405056"/>
        <c:scaling>
          <c:orientation val="minMax"/>
          <c:max val="102"/>
          <c:min val="84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415040"/>
        <c:crosses val="autoZero"/>
        <c:crossBetween val="midCat"/>
        <c:majorUnit val="2"/>
        <c:minorUnit val="1"/>
      </c:valAx>
      <c:valAx>
        <c:axId val="149415040"/>
        <c:scaling>
          <c:orientation val="minMax"/>
          <c:max val="5400"/>
          <c:min val="2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405056"/>
        <c:crosses val="autoZero"/>
        <c:crossBetween val="midCat"/>
        <c:majorUnit val="200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88" r="0.75000000000000888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44291125931067"/>
          <c:y val="9.8901452686630767E-2"/>
          <c:w val="0.75221455629654665"/>
          <c:h val="0.68864715204023663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Baron!$N$15:$N$21</c:f>
              <c:numCache>
                <c:formatCode>0.0</c:formatCode>
                <c:ptCount val="7"/>
                <c:pt idx="0">
                  <c:v>86</c:v>
                </c:pt>
                <c:pt idx="1">
                  <c:v>74</c:v>
                </c:pt>
                <c:pt idx="2">
                  <c:v>74</c:v>
                </c:pt>
                <c:pt idx="3">
                  <c:v>77.5</c:v>
                </c:pt>
                <c:pt idx="4">
                  <c:v>81</c:v>
                </c:pt>
                <c:pt idx="5">
                  <c:v>86</c:v>
                </c:pt>
                <c:pt idx="6">
                  <c:v>86</c:v>
                </c:pt>
              </c:numCache>
            </c:numRef>
          </c:xVal>
          <c:yVal>
            <c:numRef>
              <c:f>Baron!$O$15:$O$21</c:f>
              <c:numCache>
                <c:formatCode>0.0</c:formatCode>
                <c:ptCount val="7"/>
                <c:pt idx="0">
                  <c:v>3340</c:v>
                </c:pt>
                <c:pt idx="1">
                  <c:v>3340</c:v>
                </c:pt>
                <c:pt idx="2">
                  <c:v>3810</c:v>
                </c:pt>
                <c:pt idx="3">
                  <c:v>4740</c:v>
                </c:pt>
                <c:pt idx="4">
                  <c:v>5118</c:v>
                </c:pt>
                <c:pt idx="5">
                  <c:v>5118</c:v>
                </c:pt>
                <c:pt idx="6">
                  <c:v>3340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3C-4E41-8F77-9A2018DA07BE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Baron!$N$23:$N$25</c:f>
              <c:numCache>
                <c:formatCode>0.0</c:formatCode>
                <c:ptCount val="3"/>
                <c:pt idx="0">
                  <c:v>81.287103594080335</c:v>
                </c:pt>
                <c:pt idx="1">
                  <c:v>81.06634844868735</c:v>
                </c:pt>
                <c:pt idx="2">
                  <c:v>80.833417721518984</c:v>
                </c:pt>
              </c:numCache>
            </c:numRef>
          </c:xVal>
          <c:yVal>
            <c:numRef>
              <c:f>Baron!$O$23:$O$25</c:f>
              <c:numCache>
                <c:formatCode>0.0</c:formatCode>
                <c:ptCount val="3"/>
                <c:pt idx="0">
                  <c:v>4730</c:v>
                </c:pt>
                <c:pt idx="1">
                  <c:v>4190</c:v>
                </c:pt>
                <c:pt idx="2">
                  <c:v>3950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3C-4E41-8F77-9A2018DA07BE}"/>
            </c:ext>
          </c:extLst>
        </c:ser>
        <c:ser>
          <c:idx val="2"/>
          <c:order val="2"/>
          <c:tx>
            <c:v>Empty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Baron!$N$27</c:f>
              <c:numCache>
                <c:formatCode>0.0</c:formatCode>
                <c:ptCount val="1"/>
                <c:pt idx="0">
                  <c:v>77.108383233532933</c:v>
                </c:pt>
              </c:numCache>
            </c:numRef>
          </c:xVal>
          <c:yVal>
            <c:numRef>
              <c:f>Baron!$O$27</c:f>
              <c:numCache>
                <c:formatCode>0.0</c:formatCode>
                <c:ptCount val="1"/>
                <c:pt idx="0">
                  <c:v>3340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43C-4E41-8F77-9A2018DA0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563648"/>
        <c:axId val="149577728"/>
      </c:scatterChart>
      <c:valAx>
        <c:axId val="149563648"/>
        <c:scaling>
          <c:orientation val="minMax"/>
          <c:max val="88"/>
          <c:min val="72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577728"/>
        <c:crosses val="autoZero"/>
        <c:crossBetween val="midCat"/>
        <c:majorUnit val="2"/>
      </c:valAx>
      <c:valAx>
        <c:axId val="149577728"/>
        <c:scaling>
          <c:orientation val="minMax"/>
          <c:max val="5200"/>
          <c:min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563648"/>
        <c:crosses val="autoZero"/>
        <c:crossBetween val="midCat"/>
        <c:majorUnit val="2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88" r="0.75000000000000888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7549107447012"/>
          <c:y val="6.5359616633100512E-2"/>
          <c:w val="0.76176579987046167"/>
          <c:h val="0.80392413425543263"/>
        </c:manualLayout>
      </c:layout>
      <c:scatterChart>
        <c:scatterStyle val="lineMarker"/>
        <c:varyColors val="0"/>
        <c:ser>
          <c:idx val="0"/>
          <c:order val="0"/>
          <c:spPr>
            <a:ln w="31750"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'C-172'!$N$13:$N$18</c:f>
              <c:numCache>
                <c:formatCode>0.0</c:formatCode>
                <c:ptCount val="6"/>
                <c:pt idx="0">
                  <c:v>35</c:v>
                </c:pt>
                <c:pt idx="1">
                  <c:v>35</c:v>
                </c:pt>
                <c:pt idx="2">
                  <c:v>38.5</c:v>
                </c:pt>
                <c:pt idx="3">
                  <c:v>47.4</c:v>
                </c:pt>
                <c:pt idx="4">
                  <c:v>47.4</c:v>
                </c:pt>
                <c:pt idx="5">
                  <c:v>35</c:v>
                </c:pt>
              </c:numCache>
            </c:numRef>
          </c:xVal>
          <c:yVal>
            <c:numRef>
              <c:f>'C-172'!$O$13:$O$18</c:f>
              <c:numCache>
                <c:formatCode>0.0</c:formatCode>
                <c:ptCount val="6"/>
                <c:pt idx="0">
                  <c:v>1404</c:v>
                </c:pt>
                <c:pt idx="1">
                  <c:v>1940</c:v>
                </c:pt>
                <c:pt idx="2">
                  <c:v>2300</c:v>
                </c:pt>
                <c:pt idx="3">
                  <c:v>2300</c:v>
                </c:pt>
                <c:pt idx="4">
                  <c:v>1404</c:v>
                </c:pt>
                <c:pt idx="5">
                  <c:v>1404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CF-48E9-88CB-27310B143984}"/>
            </c:ext>
          </c:extLst>
        </c:ser>
        <c:ser>
          <c:idx val="1"/>
          <c:order val="1"/>
          <c:marker>
            <c:symbol val="none"/>
          </c:marker>
          <c:xVal>
            <c:numRef>
              <c:f>'C-172'!$N$20:$N$24</c:f>
              <c:numCache>
                <c:formatCode>0.0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35.5</c:v>
                </c:pt>
                <c:pt idx="3">
                  <c:v>40.5</c:v>
                </c:pt>
                <c:pt idx="4">
                  <c:v>40.53</c:v>
                </c:pt>
              </c:numCache>
            </c:numRef>
          </c:xVal>
          <c:yVal>
            <c:numRef>
              <c:f>'C-172'!$O$20:$O$24</c:f>
              <c:numCache>
                <c:formatCode>0.0</c:formatCode>
                <c:ptCount val="5"/>
                <c:pt idx="0">
                  <c:v>1404</c:v>
                </c:pt>
                <c:pt idx="1">
                  <c:v>1940</c:v>
                </c:pt>
                <c:pt idx="2">
                  <c:v>2000</c:v>
                </c:pt>
                <c:pt idx="3">
                  <c:v>2000</c:v>
                </c:pt>
                <c:pt idx="4">
                  <c:v>1404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CF-48E9-88CB-27310B143984}"/>
            </c:ext>
          </c:extLst>
        </c:ser>
        <c:ser>
          <c:idx val="2"/>
          <c:order val="2"/>
          <c:tx>
            <c:v>Empty</c:v>
          </c:tx>
          <c:spPr>
            <a:ln>
              <a:solidFill>
                <a:schemeClr val="tx1"/>
              </a:solidFill>
            </a:ln>
          </c:spPr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ymbol val="triangle"/>
              <c:size val="8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6CF-48E9-88CB-27310B14398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'C-172'!$N$30</c:f>
              <c:numCache>
                <c:formatCode>0.0</c:formatCode>
                <c:ptCount val="1"/>
                <c:pt idx="0">
                  <c:v>38.416666666666664</c:v>
                </c:pt>
              </c:numCache>
            </c:numRef>
          </c:xVal>
          <c:yVal>
            <c:numRef>
              <c:f>'C-172'!$O$30</c:f>
              <c:numCache>
                <c:formatCode>0.0</c:formatCode>
                <c:ptCount val="1"/>
                <c:pt idx="0">
                  <c:v>1404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6CF-48E9-88CB-27310B143984}"/>
            </c:ext>
          </c:extLst>
        </c:ser>
        <c:ser>
          <c:idx val="3"/>
          <c:order val="3"/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'C-172'!$N$26:$N$28</c:f>
              <c:numCache>
                <c:formatCode>0.0</c:formatCode>
                <c:ptCount val="3"/>
                <c:pt idx="0">
                  <c:v>40.127937336814618</c:v>
                </c:pt>
                <c:pt idx="1">
                  <c:v>39.873315363881403</c:v>
                </c:pt>
                <c:pt idx="2">
                  <c:v>39.356077981651374</c:v>
                </c:pt>
              </c:numCache>
            </c:numRef>
          </c:xVal>
          <c:yVal>
            <c:numRef>
              <c:f>'C-172'!$O$26:$O$28</c:f>
              <c:numCache>
                <c:formatCode>0.0</c:formatCode>
                <c:ptCount val="3"/>
                <c:pt idx="0">
                  <c:v>1915</c:v>
                </c:pt>
                <c:pt idx="1">
                  <c:v>1855</c:v>
                </c:pt>
                <c:pt idx="2">
                  <c:v>1744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6CF-48E9-88CB-27310B143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388224"/>
        <c:axId val="120406784"/>
      </c:scatterChart>
      <c:valAx>
        <c:axId val="120388224"/>
        <c:scaling>
          <c:orientation val="minMax"/>
          <c:max val="49"/>
          <c:min val="34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406784"/>
        <c:crossesAt val="1200"/>
        <c:crossBetween val="midCat"/>
        <c:majorUnit val="2"/>
        <c:minorUnit val="1"/>
      </c:valAx>
      <c:valAx>
        <c:axId val="120406784"/>
        <c:scaling>
          <c:orientation val="minMax"/>
          <c:max val="2350"/>
          <c:min val="1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388224"/>
        <c:crossesAt val="82"/>
        <c:crossBetween val="midCat"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88" r="0.75000000000000888" t="1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00021541850789"/>
          <c:y val="9.8181818181818245E-2"/>
          <c:w val="0.75882461917599686"/>
          <c:h val="0.7454545454545457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Cougar!$N$14:$N$19</c:f>
              <c:numCache>
                <c:formatCode>0.0</c:formatCode>
                <c:ptCount val="6"/>
                <c:pt idx="0">
                  <c:v>101.6</c:v>
                </c:pt>
                <c:pt idx="1">
                  <c:v>93.3</c:v>
                </c:pt>
                <c:pt idx="2">
                  <c:v>93.3</c:v>
                </c:pt>
                <c:pt idx="3">
                  <c:v>97.8</c:v>
                </c:pt>
                <c:pt idx="4">
                  <c:v>101.6</c:v>
                </c:pt>
                <c:pt idx="5">
                  <c:v>101.6</c:v>
                </c:pt>
              </c:numCache>
            </c:numRef>
          </c:xVal>
          <c:yVal>
            <c:numRef>
              <c:f>Cougar!$O$14:$O$19</c:f>
              <c:numCache>
                <c:formatCode>0.0</c:formatCode>
                <c:ptCount val="6"/>
                <c:pt idx="0">
                  <c:v>2668.98</c:v>
                </c:pt>
                <c:pt idx="1">
                  <c:v>2668.98</c:v>
                </c:pt>
                <c:pt idx="2">
                  <c:v>2900</c:v>
                </c:pt>
                <c:pt idx="3">
                  <c:v>3800</c:v>
                </c:pt>
                <c:pt idx="4">
                  <c:v>3800</c:v>
                </c:pt>
                <c:pt idx="5">
                  <c:v>2668.98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89-4F9A-A906-AFF0C580D878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Cougar!$N$21:$N$23</c:f>
              <c:numCache>
                <c:formatCode>0.0</c:formatCode>
                <c:ptCount val="3"/>
                <c:pt idx="0">
                  <c:v>98.053610074467898</c:v>
                </c:pt>
                <c:pt idx="1">
                  <c:v>97.302228687391121</c:v>
                </c:pt>
                <c:pt idx="2">
                  <c:v>95.899907540377313</c:v>
                </c:pt>
              </c:numCache>
            </c:numRef>
          </c:xVal>
          <c:yVal>
            <c:numRef>
              <c:f>Cougar!$O$21:$O$23</c:f>
              <c:numCache>
                <c:formatCode>0.0</c:formatCode>
                <c:ptCount val="3"/>
                <c:pt idx="0">
                  <c:v>3520.98</c:v>
                </c:pt>
                <c:pt idx="1">
                  <c:v>3340.98</c:v>
                </c:pt>
                <c:pt idx="2">
                  <c:v>3049.98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489-4F9A-A906-AFF0C580D878}"/>
            </c:ext>
          </c:extLst>
        </c:ser>
        <c:ser>
          <c:idx val="2"/>
          <c:order val="2"/>
          <c:tx>
            <c:v>Empty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Cougar!$N$25</c:f>
              <c:numCache>
                <c:formatCode>0.0</c:formatCode>
                <c:ptCount val="1"/>
                <c:pt idx="0">
                  <c:v>96.209713073908375</c:v>
                </c:pt>
              </c:numCache>
            </c:numRef>
          </c:xVal>
          <c:yVal>
            <c:numRef>
              <c:f>Cougar!$O$25</c:f>
              <c:numCache>
                <c:formatCode>0.0</c:formatCode>
                <c:ptCount val="1"/>
                <c:pt idx="0">
                  <c:v>2668.98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489-4F9A-A906-AFF0C580D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612032"/>
        <c:axId val="149613568"/>
      </c:scatterChart>
      <c:valAx>
        <c:axId val="149612032"/>
        <c:scaling>
          <c:orientation val="minMax"/>
          <c:max val="103"/>
          <c:min val="92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613568"/>
        <c:crosses val="autoZero"/>
        <c:crossBetween val="midCat"/>
        <c:majorUnit val="2"/>
      </c:valAx>
      <c:valAx>
        <c:axId val="149613568"/>
        <c:scaling>
          <c:orientation val="minMax"/>
          <c:max val="410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612032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88" r="0.7500000000000088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7549107447012"/>
          <c:y val="6.5359616633100512E-2"/>
          <c:w val="0.76176579987046167"/>
          <c:h val="0.80392413425543263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'C-182'!$N$16:$N$21</c:f>
              <c:numCache>
                <c:formatCode>0.0</c:formatCode>
                <c:ptCount val="6"/>
                <c:pt idx="0">
                  <c:v>33.049999999999997</c:v>
                </c:pt>
                <c:pt idx="1">
                  <c:v>32.9</c:v>
                </c:pt>
                <c:pt idx="2">
                  <c:v>39.49</c:v>
                </c:pt>
                <c:pt idx="3">
                  <c:v>49.49</c:v>
                </c:pt>
                <c:pt idx="4">
                  <c:v>48.61</c:v>
                </c:pt>
                <c:pt idx="5">
                  <c:v>33.1</c:v>
                </c:pt>
              </c:numCache>
            </c:numRef>
          </c:xVal>
          <c:yVal>
            <c:numRef>
              <c:f>'C-182'!$O$16:$O$21</c:f>
              <c:numCache>
                <c:formatCode>0.0</c:formatCode>
                <c:ptCount val="6"/>
                <c:pt idx="0">
                  <c:v>1709.8</c:v>
                </c:pt>
                <c:pt idx="1">
                  <c:v>2260</c:v>
                </c:pt>
                <c:pt idx="2">
                  <c:v>2950</c:v>
                </c:pt>
                <c:pt idx="3">
                  <c:v>2950</c:v>
                </c:pt>
                <c:pt idx="4">
                  <c:v>1709.8</c:v>
                </c:pt>
                <c:pt idx="5">
                  <c:v>1709.8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45-401A-B6A9-4C746AEE00BB}"/>
            </c:ext>
          </c:extLst>
        </c:ser>
        <c:ser>
          <c:idx val="2"/>
          <c:order val="1"/>
          <c:tx>
            <c:v>Empty</c:v>
          </c:tx>
          <c:spPr>
            <a:ln>
              <a:solidFill>
                <a:schemeClr val="tx1"/>
              </a:solidFill>
            </a:ln>
          </c:spPr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'C-182'!$N$27</c:f>
              <c:numCache>
                <c:formatCode>0.0</c:formatCode>
                <c:ptCount val="1"/>
                <c:pt idx="0">
                  <c:v>38.242952392092647</c:v>
                </c:pt>
              </c:numCache>
            </c:numRef>
          </c:xVal>
          <c:yVal>
            <c:numRef>
              <c:f>'C-182'!$O$27</c:f>
              <c:numCache>
                <c:formatCode>0.0</c:formatCode>
                <c:ptCount val="1"/>
                <c:pt idx="0">
                  <c:v>1709.8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45-401A-B6A9-4C746AEE00BB}"/>
            </c:ext>
          </c:extLst>
        </c:ser>
        <c:ser>
          <c:idx val="3"/>
          <c:order val="2"/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'C-182'!$N$23:$N$25</c:f>
              <c:numCache>
                <c:formatCode>0.0</c:formatCode>
                <c:ptCount val="3"/>
                <c:pt idx="0">
                  <c:v>42.55119440817267</c:v>
                </c:pt>
                <c:pt idx="1">
                  <c:v>42.422674738580078</c:v>
                </c:pt>
                <c:pt idx="2">
                  <c:v>41.693839452395764</c:v>
                </c:pt>
              </c:numCache>
            </c:numRef>
          </c:xVal>
          <c:yVal>
            <c:numRef>
              <c:f>'C-182'!$O$23:$O$25</c:f>
              <c:numCache>
                <c:formatCode>0.0</c:formatCode>
                <c:ptCount val="3"/>
                <c:pt idx="0">
                  <c:v>2603.8000000000002</c:v>
                </c:pt>
                <c:pt idx="1">
                  <c:v>2543.8000000000002</c:v>
                </c:pt>
                <c:pt idx="2">
                  <c:v>2249.8000000000002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745-401A-B6A9-4C746AEE0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944512"/>
        <c:axId val="120954880"/>
      </c:scatterChart>
      <c:valAx>
        <c:axId val="120944512"/>
        <c:scaling>
          <c:orientation val="minMax"/>
          <c:max val="50"/>
          <c:min val="32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954880"/>
        <c:crossesAt val="1200"/>
        <c:crossBetween val="midCat"/>
        <c:majorUnit val="2"/>
        <c:minorUnit val="1"/>
      </c:valAx>
      <c:valAx>
        <c:axId val="120954880"/>
        <c:scaling>
          <c:orientation val="minMax"/>
          <c:max val="3000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944512"/>
        <c:crossesAt val="82"/>
        <c:crossBetween val="midCat"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88" r="0.75000000000000888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7549107447012"/>
          <c:y val="6.5359616633100512E-2"/>
          <c:w val="0.76176579987046167"/>
          <c:h val="0.803924134255432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'8KCAB'!$N$15:$N$20</c:f>
              <c:strCache>
                <c:ptCount val="6"/>
                <c:pt idx="0">
                  <c:v>15.0</c:v>
                </c:pt>
                <c:pt idx="1">
                  <c:v>18.0</c:v>
                </c:pt>
                <c:pt idx="2">
                  <c:v>24.3</c:v>
                </c:pt>
                <c:pt idx="3">
                  <c:v>33.9</c:v>
                </c:pt>
                <c:pt idx="4">
                  <c:v>24.0</c:v>
                </c:pt>
                <c:pt idx="5">
                  <c:v>15.0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'8KCAB'!$N$15:$N$20</c:f>
              <c:numCache>
                <c:formatCode>0.0</c:formatCode>
                <c:ptCount val="6"/>
                <c:pt idx="0">
                  <c:v>15</c:v>
                </c:pt>
                <c:pt idx="1">
                  <c:v>18</c:v>
                </c:pt>
                <c:pt idx="2">
                  <c:v>24.25</c:v>
                </c:pt>
                <c:pt idx="3">
                  <c:v>33.9</c:v>
                </c:pt>
                <c:pt idx="4">
                  <c:v>24</c:v>
                </c:pt>
                <c:pt idx="5">
                  <c:v>15</c:v>
                </c:pt>
              </c:numCache>
            </c:numRef>
          </c:xVal>
          <c:yVal>
            <c:numRef>
              <c:f>'8KCAB'!$O$15:$O$20</c:f>
              <c:numCache>
                <c:formatCode>0.0</c:formatCode>
                <c:ptCount val="6"/>
                <c:pt idx="0">
                  <c:v>1300</c:v>
                </c:pt>
                <c:pt idx="1">
                  <c:v>1550</c:v>
                </c:pt>
                <c:pt idx="2">
                  <c:v>1800</c:v>
                </c:pt>
                <c:pt idx="3">
                  <c:v>1800</c:v>
                </c:pt>
                <c:pt idx="4">
                  <c:v>1300</c:v>
                </c:pt>
                <c:pt idx="5">
                  <c:v>1300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ED-4B19-8190-7CD855FC930C}"/>
            </c:ext>
          </c:extLst>
        </c:ser>
        <c:ser>
          <c:idx val="2"/>
          <c:order val="1"/>
          <c:tx>
            <c:v>Empty</c:v>
          </c:tx>
          <c:spPr>
            <a:ln>
              <a:solidFill>
                <a:schemeClr val="tx1"/>
              </a:solidFill>
            </a:ln>
          </c:spPr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ymbol val="triangle"/>
              <c:size val="8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2ED-4B19-8190-7CD855FC930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'8KCAB'!$N$34</c:f>
              <c:numCache>
                <c:formatCode>0.0</c:formatCode>
                <c:ptCount val="1"/>
                <c:pt idx="0">
                  <c:v>16.839839999999999</c:v>
                </c:pt>
              </c:numCache>
            </c:numRef>
          </c:xVal>
          <c:yVal>
            <c:numRef>
              <c:f>'8KCAB'!$O$34</c:f>
              <c:numCache>
                <c:formatCode>0.0_);[Red]\(0.0\)</c:formatCode>
                <c:ptCount val="1"/>
                <c:pt idx="0">
                  <c:v>1341.11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2ED-4B19-8190-7CD855FC930C}"/>
            </c:ext>
          </c:extLst>
        </c:ser>
        <c:ser>
          <c:idx val="1"/>
          <c:order val="2"/>
          <c:tx>
            <c:v>TOLD</c:v>
          </c:tx>
          <c:spPr>
            <a:ln>
              <a:solidFill>
                <a:srgbClr val="009900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</c:spPr>
          </c:marker>
          <c:xVal>
            <c:numRef>
              <c:f>'8KCAB'!$N$27:$N$29</c:f>
              <c:numCache>
                <c:formatCode>0.0</c:formatCode>
                <c:ptCount val="3"/>
                <c:pt idx="0">
                  <c:v>29.521319999999999</c:v>
                </c:pt>
                <c:pt idx="1">
                  <c:v>27.958919999999999</c:v>
                </c:pt>
                <c:pt idx="2">
                  <c:v>26.469840000000001</c:v>
                </c:pt>
              </c:numCache>
            </c:numRef>
          </c:xVal>
          <c:yVal>
            <c:numRef>
              <c:f>'8KCAB'!$O$27:$O$29</c:f>
              <c:numCache>
                <c:formatCode>0.0</c:formatCode>
                <c:ptCount val="3"/>
                <c:pt idx="0">
                  <c:v>1788.11</c:v>
                </c:pt>
                <c:pt idx="1">
                  <c:v>1728.11</c:v>
                </c:pt>
                <c:pt idx="2">
                  <c:v>1671.11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2ED-4B19-8190-7CD855FC930C}"/>
            </c:ext>
          </c:extLst>
        </c:ser>
        <c:ser>
          <c:idx val="3"/>
          <c:order val="3"/>
          <c:tx>
            <c:v>Normal</c:v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xVal>
            <c:numRef>
              <c:f>'8KCAB'!$N$21:$N$25</c:f>
              <c:numCache>
                <c:formatCode>0.0</c:formatCode>
                <c:ptCount val="5"/>
                <c:pt idx="0" formatCode="General">
                  <c:v>24.3</c:v>
                </c:pt>
                <c:pt idx="1">
                  <c:v>29</c:v>
                </c:pt>
                <c:pt idx="2">
                  <c:v>36</c:v>
                </c:pt>
                <c:pt idx="3">
                  <c:v>34</c:v>
                </c:pt>
                <c:pt idx="4" formatCode="General">
                  <c:v>24.3</c:v>
                </c:pt>
              </c:numCache>
            </c:numRef>
          </c:xVal>
          <c:yVal>
            <c:numRef>
              <c:f>'8KCAB'!$O$21:$O$25</c:f>
              <c:numCache>
                <c:formatCode>0.0</c:formatCode>
                <c:ptCount val="5"/>
                <c:pt idx="0">
                  <c:v>1800</c:v>
                </c:pt>
                <c:pt idx="1">
                  <c:v>1950</c:v>
                </c:pt>
                <c:pt idx="2">
                  <c:v>1950</c:v>
                </c:pt>
                <c:pt idx="3">
                  <c:v>1800</c:v>
                </c:pt>
                <c:pt idx="4">
                  <c:v>1800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2ED-4B19-8190-7CD855FC9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068160"/>
        <c:axId val="121086336"/>
      </c:scatterChart>
      <c:valAx>
        <c:axId val="121068160"/>
        <c:scaling>
          <c:orientation val="minMax"/>
          <c:max val="40"/>
          <c:min val="1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86336"/>
        <c:crosses val="autoZero"/>
        <c:crossBetween val="midCat"/>
        <c:majorUnit val="5"/>
        <c:minorUnit val="1"/>
      </c:valAx>
      <c:valAx>
        <c:axId val="121086336"/>
        <c:scaling>
          <c:orientation val="minMax"/>
          <c:max val="2000"/>
          <c:min val="1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68160"/>
        <c:crosses val="autoZero"/>
        <c:crossBetween val="midCat"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88" r="0.75000000000000888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00021541850789"/>
          <c:y val="6.5359685711823823E-2"/>
          <c:w val="0.76176579987046167"/>
          <c:h val="0.80392413425543263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'PA28-151 &amp; Older PA-28-161'!$N$11:$N$16</c:f>
              <c:numCache>
                <c:formatCode>0.0;[Red]0.0</c:formatCode>
                <c:ptCount val="6"/>
                <c:pt idx="0">
                  <c:v>93</c:v>
                </c:pt>
                <c:pt idx="1">
                  <c:v>83</c:v>
                </c:pt>
                <c:pt idx="2">
                  <c:v>83</c:v>
                </c:pt>
                <c:pt idx="3">
                  <c:v>87</c:v>
                </c:pt>
                <c:pt idx="4">
                  <c:v>93</c:v>
                </c:pt>
                <c:pt idx="5">
                  <c:v>93</c:v>
                </c:pt>
              </c:numCache>
            </c:numRef>
          </c:xVal>
          <c:yVal>
            <c:numRef>
              <c:f>'PA28-151 &amp; Older PA-28-161'!$O$11:$O$16</c:f>
              <c:numCache>
                <c:formatCode>0.0;[Red]0.0</c:formatCode>
                <c:ptCount val="6"/>
                <c:pt idx="0">
                  <c:v>1465</c:v>
                </c:pt>
                <c:pt idx="1">
                  <c:v>1465</c:v>
                </c:pt>
                <c:pt idx="2">
                  <c:v>1950</c:v>
                </c:pt>
                <c:pt idx="3">
                  <c:v>2325</c:v>
                </c:pt>
                <c:pt idx="4">
                  <c:v>2325</c:v>
                </c:pt>
                <c:pt idx="5">
                  <c:v>1465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06-4523-8961-EFB9D3F0726A}"/>
            </c:ext>
          </c:extLst>
        </c:ser>
        <c:ser>
          <c:idx val="1"/>
          <c:order val="1"/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'PA28-151 &amp; Older PA-28-161'!$N$25:$N$27</c:f>
              <c:numCache>
                <c:formatCode>0.0;[Red]0.0</c:formatCode>
                <c:ptCount val="3"/>
                <c:pt idx="0">
                  <c:v>85.543713733075435</c:v>
                </c:pt>
                <c:pt idx="1">
                  <c:v>85.261155378486052</c:v>
                </c:pt>
                <c:pt idx="2">
                  <c:v>84.542459893048118</c:v>
                </c:pt>
              </c:numCache>
            </c:numRef>
          </c:xVal>
          <c:yVal>
            <c:numRef>
              <c:f>'PA28-151 &amp; Older PA-28-161'!$O$25:$O$27</c:f>
              <c:numCache>
                <c:formatCode>0.0;[Red]0.0</c:formatCode>
                <c:ptCount val="3"/>
                <c:pt idx="0">
                  <c:v>2068</c:v>
                </c:pt>
                <c:pt idx="1">
                  <c:v>2008</c:v>
                </c:pt>
                <c:pt idx="2">
                  <c:v>1870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06-4523-8961-EFB9D3F0726A}"/>
            </c:ext>
          </c:extLst>
        </c:ser>
        <c:ser>
          <c:idx val="2"/>
          <c:order val="2"/>
          <c:tx>
            <c:v>Empty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'PA28-151 &amp; Older PA-28-161'!$N$30</c:f>
              <c:numCache>
                <c:formatCode>0.0;[Red]0.0</c:formatCode>
                <c:ptCount val="1"/>
                <c:pt idx="0">
                  <c:v>84.978088737201361</c:v>
                </c:pt>
              </c:numCache>
            </c:numRef>
          </c:xVal>
          <c:yVal>
            <c:numRef>
              <c:f>'PA28-151 &amp; Older PA-28-161'!$O$30</c:f>
              <c:numCache>
                <c:formatCode>0.0</c:formatCode>
                <c:ptCount val="1"/>
                <c:pt idx="0">
                  <c:v>1465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206-4523-8961-EFB9D3F0726A}"/>
            </c:ext>
          </c:extLst>
        </c:ser>
        <c:ser>
          <c:idx val="3"/>
          <c:order val="3"/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'PA28-151 &amp; Older PA-28-161'!$N$18:$N$22</c:f>
              <c:numCache>
                <c:formatCode>0.0;[Red]0.0</c:formatCode>
                <c:ptCount val="5"/>
                <c:pt idx="0">
                  <c:v>93</c:v>
                </c:pt>
                <c:pt idx="1">
                  <c:v>83</c:v>
                </c:pt>
                <c:pt idx="2">
                  <c:v>83</c:v>
                </c:pt>
                <c:pt idx="3">
                  <c:v>93</c:v>
                </c:pt>
                <c:pt idx="4">
                  <c:v>93</c:v>
                </c:pt>
              </c:numCache>
            </c:numRef>
          </c:xVal>
          <c:yVal>
            <c:numRef>
              <c:f>'PA28-151 &amp; Older PA-28-161'!$O$18:$O$22</c:f>
              <c:numCache>
                <c:formatCode>0.0;[Red]0.0</c:formatCode>
                <c:ptCount val="5"/>
                <c:pt idx="0">
                  <c:v>1465</c:v>
                </c:pt>
                <c:pt idx="1">
                  <c:v>1465</c:v>
                </c:pt>
                <c:pt idx="2">
                  <c:v>1950</c:v>
                </c:pt>
                <c:pt idx="3">
                  <c:v>1950</c:v>
                </c:pt>
                <c:pt idx="4">
                  <c:v>1465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206-4523-8961-EFB9D3F0726A}"/>
            </c:ext>
          </c:extLst>
        </c:ser>
        <c:ser>
          <c:idx val="4"/>
          <c:order val="4"/>
          <c:spPr>
            <a:ln w="38100">
              <a:solidFill>
                <a:srgbClr val="C00000"/>
              </a:solidFill>
            </a:ln>
          </c:spPr>
          <c:marker>
            <c:symbol val="diamond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xVal>
            <c:numRef>
              <c:f>'PA28-151 &amp; Older PA-28-161'!$N$33:$N$34</c:f>
              <c:numCache>
                <c:formatCode>0.0</c:formatCode>
                <c:ptCount val="2"/>
              </c:numCache>
            </c:numRef>
          </c:xVal>
          <c:yVal>
            <c:numRef>
              <c:f>'PA28-151 &amp; Older PA-28-161'!$O$33:$O$34</c:f>
              <c:numCache>
                <c:formatCode>0.0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206-4523-8961-EFB9D3F07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113216"/>
        <c:axId val="121127680"/>
      </c:scatterChart>
      <c:valAx>
        <c:axId val="121113216"/>
        <c:scaling>
          <c:orientation val="minMax"/>
          <c:max val="94"/>
          <c:min val="80"/>
        </c:scaling>
        <c:delete val="0"/>
        <c:axPos val="b"/>
        <c:majorGridlines/>
        <c:numFmt formatCode="0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127680"/>
        <c:crossesAt val="1200"/>
        <c:crossBetween val="midCat"/>
        <c:majorUnit val="2"/>
        <c:minorUnit val="1"/>
      </c:valAx>
      <c:valAx>
        <c:axId val="121127680"/>
        <c:scaling>
          <c:orientation val="minMax"/>
          <c:max val="2600"/>
          <c:min val="1400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113216"/>
        <c:crossesAt val="82"/>
        <c:crossBetween val="midCat"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88" r="0.75000000000000888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00021541850789"/>
          <c:y val="6.5359685711823823E-2"/>
          <c:w val="0.76176579987046167"/>
          <c:h val="0.80392413425543263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'Newer PA28-161'!$N$12:$N$17</c:f>
              <c:numCache>
                <c:formatCode>0.0;[Red]0.0</c:formatCode>
                <c:ptCount val="6"/>
                <c:pt idx="0">
                  <c:v>93</c:v>
                </c:pt>
                <c:pt idx="1">
                  <c:v>83</c:v>
                </c:pt>
                <c:pt idx="2">
                  <c:v>83</c:v>
                </c:pt>
                <c:pt idx="3">
                  <c:v>88.3</c:v>
                </c:pt>
                <c:pt idx="4">
                  <c:v>93</c:v>
                </c:pt>
                <c:pt idx="5">
                  <c:v>93</c:v>
                </c:pt>
              </c:numCache>
            </c:numRef>
          </c:xVal>
          <c:yVal>
            <c:numRef>
              <c:f>'Newer PA28-161'!$O$12:$O$17</c:f>
              <c:numCache>
                <c:formatCode>0.0</c:formatCode>
                <c:ptCount val="6"/>
                <c:pt idx="0">
                  <c:v>1494</c:v>
                </c:pt>
                <c:pt idx="1">
                  <c:v>1494</c:v>
                </c:pt>
                <c:pt idx="2">
                  <c:v>1950</c:v>
                </c:pt>
                <c:pt idx="3">
                  <c:v>2440</c:v>
                </c:pt>
                <c:pt idx="4">
                  <c:v>2440</c:v>
                </c:pt>
                <c:pt idx="5">
                  <c:v>1494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F0-453A-8881-92A908A567AE}"/>
            </c:ext>
          </c:extLst>
        </c:ser>
        <c:ser>
          <c:idx val="1"/>
          <c:order val="1"/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'Newer PA28-161'!$N$26:$N$28</c:f>
              <c:numCache>
                <c:formatCode>0.0;[Red]0.0</c:formatCode>
                <c:ptCount val="3"/>
                <c:pt idx="0">
                  <c:v>89.138656159270013</c:v>
                </c:pt>
                <c:pt idx="1">
                  <c:v>88.989068481497227</c:v>
                </c:pt>
                <c:pt idx="2">
                  <c:v>88.36228276186003</c:v>
                </c:pt>
              </c:numCache>
            </c:numRef>
          </c:xVal>
          <c:yVal>
            <c:numRef>
              <c:f>'Newer PA28-161'!$O$26:$O$28</c:f>
              <c:numCache>
                <c:formatCode>0.0</c:formatCode>
                <c:ptCount val="3"/>
                <c:pt idx="0">
                  <c:v>2411</c:v>
                </c:pt>
                <c:pt idx="1">
                  <c:v>2351</c:v>
                </c:pt>
                <c:pt idx="2">
                  <c:v>2129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F0-453A-8881-92A908A567AE}"/>
            </c:ext>
          </c:extLst>
        </c:ser>
        <c:ser>
          <c:idx val="2"/>
          <c:order val="2"/>
          <c:tx>
            <c:v>Empty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'Newer PA28-161'!$N$30</c:f>
              <c:numCache>
                <c:formatCode>0.0;[Red]0.0</c:formatCode>
                <c:ptCount val="1"/>
                <c:pt idx="0">
                  <c:v>85.246854082998667</c:v>
                </c:pt>
              </c:numCache>
            </c:numRef>
          </c:xVal>
          <c:yVal>
            <c:numRef>
              <c:f>'Newer PA28-161'!$O$30</c:f>
              <c:numCache>
                <c:formatCode>0.0</c:formatCode>
                <c:ptCount val="1"/>
                <c:pt idx="0">
                  <c:v>1494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4F0-453A-8881-92A908A567AE}"/>
            </c:ext>
          </c:extLst>
        </c:ser>
        <c:ser>
          <c:idx val="3"/>
          <c:order val="3"/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'Newer PA28-161'!$N$19:$N$24</c:f>
              <c:numCache>
                <c:formatCode>0.0;[Red]0.0</c:formatCode>
                <c:ptCount val="6"/>
                <c:pt idx="0">
                  <c:v>93</c:v>
                </c:pt>
                <c:pt idx="1">
                  <c:v>83</c:v>
                </c:pt>
                <c:pt idx="2">
                  <c:v>83</c:v>
                </c:pt>
                <c:pt idx="3">
                  <c:v>83.8</c:v>
                </c:pt>
                <c:pt idx="4">
                  <c:v>93</c:v>
                </c:pt>
                <c:pt idx="5">
                  <c:v>93</c:v>
                </c:pt>
              </c:numCache>
            </c:numRef>
          </c:xVal>
          <c:yVal>
            <c:numRef>
              <c:f>'Newer PA28-161'!$O$19:$O$24</c:f>
              <c:numCache>
                <c:formatCode>0.0</c:formatCode>
                <c:ptCount val="6"/>
                <c:pt idx="0">
                  <c:v>1494</c:v>
                </c:pt>
                <c:pt idx="1">
                  <c:v>1494</c:v>
                </c:pt>
                <c:pt idx="2">
                  <c:v>1950</c:v>
                </c:pt>
                <c:pt idx="3">
                  <c:v>2020</c:v>
                </c:pt>
                <c:pt idx="4">
                  <c:v>2020</c:v>
                </c:pt>
                <c:pt idx="5">
                  <c:v>1494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4F0-453A-8881-92A908A567AE}"/>
            </c:ext>
          </c:extLst>
        </c:ser>
        <c:ser>
          <c:idx val="4"/>
          <c:order val="4"/>
          <c:spPr>
            <a:ln>
              <a:solidFill>
                <a:srgbClr val="C00000"/>
              </a:solidFill>
            </a:ln>
          </c:spPr>
          <c:marker>
            <c:symbol val="diamond"/>
            <c:size val="6"/>
            <c:spPr>
              <a:solidFill>
                <a:schemeClr val="tx1"/>
              </a:solidFill>
            </c:spPr>
          </c:marker>
          <c:xVal>
            <c:numRef>
              <c:f>'Newer PA28-161'!$N$33:$N$34</c:f>
              <c:numCache>
                <c:formatCode>0.0</c:formatCode>
                <c:ptCount val="2"/>
                <c:pt idx="0">
                  <c:v>89.138656159270013</c:v>
                </c:pt>
              </c:numCache>
            </c:numRef>
          </c:xVal>
          <c:yVal>
            <c:numRef>
              <c:f>'Newer PA28-161'!$O$33:$O$34</c:f>
              <c:numCache>
                <c:formatCode>0.0</c:formatCode>
                <c:ptCount val="2"/>
                <c:pt idx="0">
                  <c:v>2411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4F0-453A-8881-92A908A56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388416"/>
        <c:axId val="121394688"/>
      </c:scatterChart>
      <c:valAx>
        <c:axId val="121388416"/>
        <c:scaling>
          <c:orientation val="minMax"/>
          <c:max val="94"/>
          <c:min val="80"/>
        </c:scaling>
        <c:delete val="0"/>
        <c:axPos val="b"/>
        <c:majorGridlines/>
        <c:numFmt formatCode="0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394688"/>
        <c:crossesAt val="1200"/>
        <c:crossBetween val="midCat"/>
        <c:majorUnit val="2"/>
        <c:minorUnit val="1"/>
      </c:valAx>
      <c:valAx>
        <c:axId val="121394688"/>
        <c:scaling>
          <c:orientation val="minMax"/>
          <c:max val="2600"/>
          <c:min val="1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388416"/>
        <c:crossesAt val="82"/>
        <c:crossBetween val="midCat"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88" r="0.75000000000000888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00021541850789"/>
          <c:y val="6.5359685711823823E-2"/>
          <c:w val="0.76176579987046167"/>
          <c:h val="0.80392413425543263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'PA28-181'!$N$11:$N$16</c:f>
              <c:numCache>
                <c:formatCode>0.0</c:formatCode>
                <c:ptCount val="6"/>
                <c:pt idx="0">
                  <c:v>93</c:v>
                </c:pt>
                <c:pt idx="1">
                  <c:v>82</c:v>
                </c:pt>
                <c:pt idx="2">
                  <c:v>82</c:v>
                </c:pt>
                <c:pt idx="3">
                  <c:v>88.5</c:v>
                </c:pt>
                <c:pt idx="4">
                  <c:v>93</c:v>
                </c:pt>
                <c:pt idx="5">
                  <c:v>93</c:v>
                </c:pt>
              </c:numCache>
            </c:numRef>
          </c:xVal>
          <c:yVal>
            <c:numRef>
              <c:f>'PA28-181'!$O$11:$O$16</c:f>
              <c:numCache>
                <c:formatCode>0.0</c:formatCode>
                <c:ptCount val="6"/>
                <c:pt idx="0">
                  <c:v>1598.07</c:v>
                </c:pt>
                <c:pt idx="1">
                  <c:v>1598.07</c:v>
                </c:pt>
                <c:pt idx="2">
                  <c:v>2050</c:v>
                </c:pt>
                <c:pt idx="3">
                  <c:v>2550</c:v>
                </c:pt>
                <c:pt idx="4">
                  <c:v>2550</c:v>
                </c:pt>
                <c:pt idx="5">
                  <c:v>1598.07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2B-4787-9441-FD92617D79A6}"/>
            </c:ext>
          </c:extLst>
        </c:ser>
        <c:ser>
          <c:idx val="1"/>
          <c:order val="1"/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'PA28-181'!$N$25:$N$27</c:f>
              <c:numCache>
                <c:formatCode>0.0</c:formatCode>
                <c:ptCount val="3"/>
                <c:pt idx="0">
                  <c:v>87.526500282267065</c:v>
                </c:pt>
                <c:pt idx="1">
                  <c:v>87.324974045760371</c:v>
                </c:pt>
                <c:pt idx="2">
                  <c:v>86.47435186987974</c:v>
                </c:pt>
              </c:numCache>
            </c:numRef>
          </c:xVal>
          <c:yVal>
            <c:numRef>
              <c:f>'PA28-181'!$O$25:$O$27</c:f>
              <c:numCache>
                <c:formatCode>0.0</c:formatCode>
                <c:ptCount val="3"/>
                <c:pt idx="0">
                  <c:v>2285.0699999999997</c:v>
                </c:pt>
                <c:pt idx="1">
                  <c:v>2225.0699999999997</c:v>
                </c:pt>
                <c:pt idx="2">
                  <c:v>2003.07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2B-4787-9441-FD92617D79A6}"/>
            </c:ext>
          </c:extLst>
        </c:ser>
        <c:ser>
          <c:idx val="2"/>
          <c:order val="2"/>
          <c:tx>
            <c:v>Empty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'PA28-181'!$N$29</c:f>
              <c:numCache>
                <c:formatCode>0.0</c:formatCode>
                <c:ptCount val="1"/>
                <c:pt idx="0">
                  <c:v>87.363306989055545</c:v>
                </c:pt>
              </c:numCache>
            </c:numRef>
          </c:xVal>
          <c:yVal>
            <c:numRef>
              <c:f>'PA28-181'!$O$29</c:f>
              <c:numCache>
                <c:formatCode>0.0</c:formatCode>
                <c:ptCount val="1"/>
                <c:pt idx="0">
                  <c:v>1598.07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72B-4787-9441-FD92617D79A6}"/>
            </c:ext>
          </c:extLst>
        </c:ser>
        <c:ser>
          <c:idx val="3"/>
          <c:order val="3"/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'PA28-181'!$N$18:$N$23</c:f>
              <c:numCache>
                <c:formatCode>0.0</c:formatCode>
                <c:ptCount val="6"/>
                <c:pt idx="0">
                  <c:v>93</c:v>
                </c:pt>
                <c:pt idx="1">
                  <c:v>82</c:v>
                </c:pt>
                <c:pt idx="2">
                  <c:v>82</c:v>
                </c:pt>
                <c:pt idx="3">
                  <c:v>83.2</c:v>
                </c:pt>
                <c:pt idx="4">
                  <c:v>93</c:v>
                </c:pt>
                <c:pt idx="5">
                  <c:v>93</c:v>
                </c:pt>
              </c:numCache>
            </c:numRef>
          </c:xVal>
          <c:yVal>
            <c:numRef>
              <c:f>'PA28-181'!$O$18:$O$23</c:f>
              <c:numCache>
                <c:formatCode>0.0</c:formatCode>
                <c:ptCount val="6"/>
                <c:pt idx="0">
                  <c:v>1598.07</c:v>
                </c:pt>
                <c:pt idx="1">
                  <c:v>1598.07</c:v>
                </c:pt>
                <c:pt idx="2">
                  <c:v>2050</c:v>
                </c:pt>
                <c:pt idx="3">
                  <c:v>2140</c:v>
                </c:pt>
                <c:pt idx="4">
                  <c:v>2140</c:v>
                </c:pt>
                <c:pt idx="5">
                  <c:v>1598.07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72B-4787-9441-FD92617D79A6}"/>
            </c:ext>
          </c:extLst>
        </c:ser>
        <c:ser>
          <c:idx val="4"/>
          <c:order val="4"/>
          <c:marker>
            <c:symbol val="none"/>
          </c:marker>
          <c:xVal>
            <c:numRef>
              <c:f>'PA28-181'!$N$31:$N$32</c:f>
              <c:numCache>
                <c:formatCode>0.0</c:formatCode>
                <c:ptCount val="2"/>
                <c:pt idx="0">
                  <c:v>87.526500282267065</c:v>
                </c:pt>
              </c:numCache>
            </c:numRef>
          </c:xVal>
          <c:yVal>
            <c:numRef>
              <c:f>'PA28-181'!$O$31:$O$32</c:f>
              <c:numCache>
                <c:formatCode>0.0</c:formatCode>
                <c:ptCount val="2"/>
                <c:pt idx="0">
                  <c:v>2285.0699999999997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72B-4787-9441-FD92617D79A6}"/>
            </c:ext>
          </c:extLst>
        </c:ser>
        <c:ser>
          <c:idx val="5"/>
          <c:order val="5"/>
          <c:spPr>
            <a:ln>
              <a:solidFill>
                <a:srgbClr val="C00000"/>
              </a:solidFill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'PA28-181'!$N$31:$N$32</c:f>
              <c:numCache>
                <c:formatCode>0.0</c:formatCode>
                <c:ptCount val="2"/>
                <c:pt idx="0">
                  <c:v>87.526500282267065</c:v>
                </c:pt>
              </c:numCache>
            </c:numRef>
          </c:xVal>
          <c:yVal>
            <c:numRef>
              <c:f>'PA28-181'!$O$31:$O$32</c:f>
              <c:numCache>
                <c:formatCode>0.0</c:formatCode>
                <c:ptCount val="2"/>
                <c:pt idx="0">
                  <c:v>2285.0699999999997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72B-4787-9441-FD92617D7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304192"/>
        <c:axId val="121306112"/>
      </c:scatterChart>
      <c:valAx>
        <c:axId val="121304192"/>
        <c:scaling>
          <c:orientation val="minMax"/>
          <c:max val="94"/>
          <c:min val="80"/>
        </c:scaling>
        <c:delete val="0"/>
        <c:axPos val="b"/>
        <c:majorGridlines/>
        <c:numFmt formatCode="0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306112"/>
        <c:crossesAt val="1200"/>
        <c:crossBetween val="midCat"/>
        <c:majorUnit val="2"/>
        <c:minorUnit val="1"/>
      </c:valAx>
      <c:valAx>
        <c:axId val="121306112"/>
        <c:scaling>
          <c:orientation val="minMax"/>
          <c:max val="2600"/>
          <c:min val="1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304192"/>
        <c:crossesAt val="82"/>
        <c:crossBetween val="midCat"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88" r="0.75000000000000888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8473486944868"/>
          <c:y val="0.10429931097964892"/>
          <c:w val="0.77419354838709675"/>
          <c:h val="0.76102941176471917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'Arrow III'!$N$15:$N$20</c:f>
              <c:numCache>
                <c:formatCode>0.0</c:formatCode>
                <c:ptCount val="6"/>
                <c:pt idx="0">
                  <c:v>91.5</c:v>
                </c:pt>
                <c:pt idx="1">
                  <c:v>82</c:v>
                </c:pt>
                <c:pt idx="2">
                  <c:v>82</c:v>
                </c:pt>
                <c:pt idx="3">
                  <c:v>88.9</c:v>
                </c:pt>
                <c:pt idx="4">
                  <c:v>91.5</c:v>
                </c:pt>
                <c:pt idx="5">
                  <c:v>91.5</c:v>
                </c:pt>
              </c:numCache>
            </c:numRef>
          </c:xVal>
          <c:yVal>
            <c:numRef>
              <c:f>'Arrow III'!$O$15:$O$20</c:f>
              <c:numCache>
                <c:formatCode>0.0</c:formatCode>
                <c:ptCount val="6"/>
                <c:pt idx="0">
                  <c:v>1747.69</c:v>
                </c:pt>
                <c:pt idx="1">
                  <c:v>1747.69</c:v>
                </c:pt>
                <c:pt idx="2">
                  <c:v>2375</c:v>
                </c:pt>
                <c:pt idx="3">
                  <c:v>2750</c:v>
                </c:pt>
                <c:pt idx="4">
                  <c:v>2750</c:v>
                </c:pt>
                <c:pt idx="5">
                  <c:v>1747.69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F3-45B1-8DCD-58E4CB47900B}"/>
            </c:ext>
          </c:extLst>
        </c:ser>
        <c:ser>
          <c:idx val="1"/>
          <c:order val="1"/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'Arrow III'!$N$24:$N$27</c:f>
              <c:numCache>
                <c:formatCode>0.0</c:formatCode>
                <c:ptCount val="4"/>
                <c:pt idx="1">
                  <c:v>87.538432535595035</c:v>
                </c:pt>
                <c:pt idx="2">
                  <c:v>87.211474871079119</c:v>
                </c:pt>
                <c:pt idx="3">
                  <c:v>86.082645434317058</c:v>
                </c:pt>
              </c:numCache>
            </c:numRef>
          </c:xVal>
          <c:yVal>
            <c:numRef>
              <c:f>'Arrow III'!$O$24:$O$27</c:f>
              <c:numCache>
                <c:formatCode>0.0</c:formatCode>
                <c:ptCount val="4"/>
                <c:pt idx="1">
                  <c:v>2572.69</c:v>
                </c:pt>
                <c:pt idx="2">
                  <c:v>2464.69</c:v>
                </c:pt>
                <c:pt idx="3">
                  <c:v>2152.69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F3-45B1-8DCD-58E4CB47900B}"/>
            </c:ext>
          </c:extLst>
        </c:ser>
        <c:ser>
          <c:idx val="2"/>
          <c:order val="2"/>
          <c:tx>
            <c:v>Empty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'Arrow III'!$N$29</c:f>
              <c:numCache>
                <c:formatCode>0.0</c:formatCode>
                <c:ptCount val="1"/>
                <c:pt idx="0">
                  <c:v>86.804725094267283</c:v>
                </c:pt>
              </c:numCache>
            </c:numRef>
          </c:xVal>
          <c:yVal>
            <c:numRef>
              <c:f>'Arrow III'!$O$29</c:f>
              <c:numCache>
                <c:formatCode>0.0</c:formatCode>
                <c:ptCount val="1"/>
                <c:pt idx="0">
                  <c:v>1747.69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8F3-45B1-8DCD-58E4CB47900B}"/>
            </c:ext>
          </c:extLst>
        </c:ser>
        <c:ser>
          <c:idx val="3"/>
          <c:order val="3"/>
          <c:spPr>
            <a:ln w="38100">
              <a:solidFill>
                <a:srgbClr val="C00000"/>
              </a:solidFill>
            </a:ln>
          </c:spPr>
          <c:marker>
            <c:symbol val="diamond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</c:spPr>
          </c:marker>
          <c:xVal>
            <c:numRef>
              <c:f>'Arrow III'!$N$31:$N$32</c:f>
              <c:numCache>
                <c:formatCode>0.0</c:formatCode>
                <c:ptCount val="2"/>
                <c:pt idx="0">
                  <c:v>87.538432535595035</c:v>
                </c:pt>
              </c:numCache>
            </c:numRef>
          </c:xVal>
          <c:yVal>
            <c:numRef>
              <c:f>'Arrow III'!$O$31:$O$32</c:f>
              <c:numCache>
                <c:formatCode>0.0</c:formatCode>
                <c:ptCount val="2"/>
                <c:pt idx="0">
                  <c:v>2572.69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8F3-45B1-8DCD-58E4CB479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635968"/>
        <c:axId val="121637888"/>
      </c:scatterChart>
      <c:valAx>
        <c:axId val="121635968"/>
        <c:scaling>
          <c:orientation val="minMax"/>
          <c:max val="94"/>
          <c:min val="8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637888"/>
        <c:crossesAt val="1400"/>
        <c:crossBetween val="midCat"/>
        <c:majorUnit val="3"/>
        <c:minorUnit val="1"/>
      </c:valAx>
      <c:valAx>
        <c:axId val="121637888"/>
        <c:scaling>
          <c:orientation val="minMax"/>
          <c:max val="2800"/>
          <c:min val="1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635968"/>
        <c:crosses val="autoZero"/>
        <c:crossBetween val="midCat"/>
        <c:majorUnit val="10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1" r="0.750000000000009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Cougar!#REF!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Cougar!#REF!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36-4A6B-A21D-7A4728F013D5}"/>
            </c:ext>
          </c:extLst>
        </c:ser>
        <c:ser>
          <c:idx val="1"/>
          <c:order val="1"/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Cougar!#REF!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Cougar!#REF!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36-4A6B-A21D-7A4728F01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673984"/>
        <c:axId val="121680256"/>
      </c:scatterChart>
      <c:valAx>
        <c:axId val="121673984"/>
        <c:scaling>
          <c:orientation val="minMax"/>
          <c:max val="88"/>
          <c:min val="72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680256"/>
        <c:crosses val="autoZero"/>
        <c:crossBetween val="midCat"/>
        <c:majorUnit val="2"/>
      </c:valAx>
      <c:valAx>
        <c:axId val="121680256"/>
        <c:scaling>
          <c:orientation val="minMax"/>
          <c:max val="5200"/>
          <c:min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673984"/>
        <c:crosses val="autoZero"/>
        <c:crossBetween val="midCat"/>
        <c:majorUnit val="2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1" r="0.750000000000009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602248</xdr:colOff>
      <xdr:row>14</xdr:row>
      <xdr:rowOff>8313</xdr:rowOff>
    </xdr:from>
    <xdr:to>
      <xdr:col>10</xdr:col>
      <xdr:colOff>389680</xdr:colOff>
      <xdr:row>29</xdr:row>
      <xdr:rowOff>135718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507076</xdr:colOff>
      <xdr:row>13</xdr:row>
      <xdr:rowOff>16625</xdr:rowOff>
    </xdr:from>
    <xdr:to>
      <xdr:col>10</xdr:col>
      <xdr:colOff>339782</xdr:colOff>
      <xdr:row>27</xdr:row>
      <xdr:rowOff>166255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267768</xdr:colOff>
      <xdr:row>14</xdr:row>
      <xdr:rowOff>26785</xdr:rowOff>
    </xdr:from>
    <xdr:to>
      <xdr:col>11</xdr:col>
      <xdr:colOff>647384</xdr:colOff>
      <xdr:row>31</xdr:row>
      <xdr:rowOff>155340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267768</xdr:colOff>
      <xdr:row>13</xdr:row>
      <xdr:rowOff>132618</xdr:rowOff>
    </xdr:from>
    <xdr:to>
      <xdr:col>11</xdr:col>
      <xdr:colOff>647384</xdr:colOff>
      <xdr:row>31</xdr:row>
      <xdr:rowOff>91840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910188</xdr:colOff>
      <xdr:row>15</xdr:row>
      <xdr:rowOff>52916</xdr:rowOff>
    </xdr:from>
    <xdr:to>
      <xdr:col>8</xdr:col>
      <xdr:colOff>624416</xdr:colOff>
      <xdr:row>16</xdr:row>
      <xdr:rowOff>84666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5069438" y="2582333"/>
          <a:ext cx="1322895" cy="19050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Landing Limitation</a:t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0.36222</cdr:x>
      <cdr:y>0.15408</cdr:y>
    </cdr:from>
    <cdr:to>
      <cdr:x>0.45634</cdr:x>
      <cdr:y>0.19123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DA0AA603-C073-4794-92F7-0053583CCC64}"/>
            </a:ext>
          </a:extLst>
        </cdr:cNvPr>
        <cdr:cNvCxnSpPr/>
      </cdr:nvCxnSpPr>
      <cdr:spPr bwMode="auto">
        <a:xfrm xmlns:a="http://schemas.openxmlformats.org/drawingml/2006/main">
          <a:off x="1425565" y="438882"/>
          <a:ext cx="370417" cy="105833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267768</xdr:colOff>
      <xdr:row>14</xdr:row>
      <xdr:rowOff>26785</xdr:rowOff>
    </xdr:from>
    <xdr:to>
      <xdr:col>11</xdr:col>
      <xdr:colOff>647384</xdr:colOff>
      <xdr:row>31</xdr:row>
      <xdr:rowOff>155340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267768</xdr:colOff>
      <xdr:row>14</xdr:row>
      <xdr:rowOff>26785</xdr:rowOff>
    </xdr:from>
    <xdr:to>
      <xdr:col>11</xdr:col>
      <xdr:colOff>647384</xdr:colOff>
      <xdr:row>31</xdr:row>
      <xdr:rowOff>155340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432262</xdr:colOff>
      <xdr:row>13</xdr:row>
      <xdr:rowOff>8467</xdr:rowOff>
    </xdr:from>
    <xdr:to>
      <xdr:col>11</xdr:col>
      <xdr:colOff>465666</xdr:colOff>
      <xdr:row>31</xdr:row>
      <xdr:rowOff>157942</xdr:rowOff>
    </xdr:to>
    <xdr:graphicFrame macro="">
      <xdr:nvGraphicFramePr>
        <xdr:cNvPr id="4154" name="Chart 1">
          <a:extLst>
            <a:ext uri="{FF2B5EF4-FFF2-40B4-BE49-F238E27FC236}">
              <a16:creationId xmlns:a16="http://schemas.microsoft.com/office/drawing/2014/main" id="{00000000-0008-0000-0C00-00003A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541886</xdr:colOff>
      <xdr:row>14</xdr:row>
      <xdr:rowOff>8313</xdr:rowOff>
    </xdr:from>
    <xdr:to>
      <xdr:col>10</xdr:col>
      <xdr:colOff>539288</xdr:colOff>
      <xdr:row>29</xdr:row>
      <xdr:rowOff>170238</xdr:rowOff>
    </xdr:to>
    <xdr:graphicFrame macro="">
      <xdr:nvGraphicFramePr>
        <xdr:cNvPr id="5154" name="Chart 1">
          <a:extLst>
            <a:ext uri="{FF2B5EF4-FFF2-40B4-BE49-F238E27FC236}">
              <a16:creationId xmlns:a16="http://schemas.microsoft.com/office/drawing/2014/main" id="{00000000-0008-0000-0D00-00002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8313</xdr:colOff>
      <xdr:row>15</xdr:row>
      <xdr:rowOff>11084</xdr:rowOff>
    </xdr:from>
    <xdr:to>
      <xdr:col>10</xdr:col>
      <xdr:colOff>970338</xdr:colOff>
      <xdr:row>31</xdr:row>
      <xdr:rowOff>1558</xdr:rowOff>
    </xdr:to>
    <xdr:graphicFrame macro="">
      <xdr:nvGraphicFramePr>
        <xdr:cNvPr id="6200" name="Chart 1">
          <a:extLst>
            <a:ext uri="{FF2B5EF4-FFF2-40B4-BE49-F238E27FC236}">
              <a16:creationId xmlns:a16="http://schemas.microsoft.com/office/drawing/2014/main" id="{00000000-0008-0000-0E00-000038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332510</xdr:colOff>
      <xdr:row>13</xdr:row>
      <xdr:rowOff>12299</xdr:rowOff>
    </xdr:from>
    <xdr:to>
      <xdr:col>11</xdr:col>
      <xdr:colOff>149630</xdr:colOff>
      <xdr:row>29</xdr:row>
      <xdr:rowOff>108067</xdr:rowOff>
    </xdr:to>
    <xdr:graphicFrame macro="">
      <xdr:nvGraphicFramePr>
        <xdr:cNvPr id="2345" name="Chart 175">
          <a:extLst>
            <a:ext uri="{FF2B5EF4-FFF2-40B4-BE49-F238E27FC236}">
              <a16:creationId xmlns:a16="http://schemas.microsoft.com/office/drawing/2014/main" id="{00000000-0008-0000-0F00-000029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83126</xdr:colOff>
      <xdr:row>14</xdr:row>
      <xdr:rowOff>16626</xdr:rowOff>
    </xdr:from>
    <xdr:to>
      <xdr:col>10</xdr:col>
      <xdr:colOff>257692</xdr:colOff>
      <xdr:row>29</xdr:row>
      <xdr:rowOff>133003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8311</xdr:colOff>
      <xdr:row>15</xdr:row>
      <xdr:rowOff>8312</xdr:rowOff>
    </xdr:from>
    <xdr:to>
      <xdr:col>10</xdr:col>
      <xdr:colOff>457199</xdr:colOff>
      <xdr:row>30</xdr:row>
      <xdr:rowOff>149629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277090</xdr:colOff>
      <xdr:row>14</xdr:row>
      <xdr:rowOff>5232</xdr:rowOff>
    </xdr:from>
    <xdr:to>
      <xdr:col>11</xdr:col>
      <xdr:colOff>609599</xdr:colOff>
      <xdr:row>30</xdr:row>
      <xdr:rowOff>110834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41564</xdr:colOff>
      <xdr:row>15</xdr:row>
      <xdr:rowOff>27711</xdr:rowOff>
    </xdr:from>
    <xdr:to>
      <xdr:col>10</xdr:col>
      <xdr:colOff>307570</xdr:colOff>
      <xdr:row>29</xdr:row>
      <xdr:rowOff>157942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58189</xdr:colOff>
      <xdr:row>15</xdr:row>
      <xdr:rowOff>27710</xdr:rowOff>
    </xdr:from>
    <xdr:to>
      <xdr:col>10</xdr:col>
      <xdr:colOff>290946</xdr:colOff>
      <xdr:row>29</xdr:row>
      <xdr:rowOff>141316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49876</xdr:colOff>
      <xdr:row>15</xdr:row>
      <xdr:rowOff>27710</xdr:rowOff>
    </xdr:from>
    <xdr:to>
      <xdr:col>10</xdr:col>
      <xdr:colOff>199505</xdr:colOff>
      <xdr:row>29</xdr:row>
      <xdr:rowOff>149629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548640</xdr:colOff>
      <xdr:row>14</xdr:row>
      <xdr:rowOff>24938</xdr:rowOff>
    </xdr:from>
    <xdr:to>
      <xdr:col>10</xdr:col>
      <xdr:colOff>266007</xdr:colOff>
      <xdr:row>29</xdr:row>
      <xdr:rowOff>166255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39</xdr:row>
      <xdr:rowOff>0</xdr:rowOff>
    </xdr:from>
    <xdr:to>
      <xdr:col>10</xdr:col>
      <xdr:colOff>971550</xdr:colOff>
      <xdr:row>39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548640</xdr:colOff>
      <xdr:row>14</xdr:row>
      <xdr:rowOff>24938</xdr:rowOff>
    </xdr:from>
    <xdr:to>
      <xdr:col>10</xdr:col>
      <xdr:colOff>266007</xdr:colOff>
      <xdr:row>29</xdr:row>
      <xdr:rowOff>166255</xdr:rowOff>
    </xdr:to>
    <xdr:graphicFrame macro="">
      <xdr:nvGraphicFramePr>
        <xdr:cNvPr id="3152" name="Chart 1">
          <a:extLst>
            <a:ext uri="{FF2B5EF4-FFF2-40B4-BE49-F238E27FC236}">
              <a16:creationId xmlns:a16="http://schemas.microsoft.com/office/drawing/2014/main" id="{00000000-0008-0000-0800-00005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39</xdr:row>
      <xdr:rowOff>0</xdr:rowOff>
    </xdr:from>
    <xdr:to>
      <xdr:col>10</xdr:col>
      <xdr:colOff>971550</xdr:colOff>
      <xdr:row>39</xdr:row>
      <xdr:rowOff>0</xdr:rowOff>
    </xdr:to>
    <xdr:graphicFrame macro="">
      <xdr:nvGraphicFramePr>
        <xdr:cNvPr id="3153" name="Chart 2">
          <a:extLst>
            <a:ext uri="{FF2B5EF4-FFF2-40B4-BE49-F238E27FC236}">
              <a16:creationId xmlns:a16="http://schemas.microsoft.com/office/drawing/2014/main" id="{00000000-0008-0000-0800-00005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P39"/>
  <sheetViews>
    <sheetView zoomScale="90" zoomScaleNormal="90" workbookViewId="0">
      <selection activeCell="C9" sqref="C9"/>
    </sheetView>
  </sheetViews>
  <sheetFormatPr defaultRowHeight="12.75" x14ac:dyDescent="0.2"/>
  <cols>
    <col min="1" max="1" width="2.7109375" customWidth="1"/>
    <col min="2" max="2" width="21.5703125" customWidth="1"/>
    <col min="3" max="4" width="9.28515625" customWidth="1"/>
    <col min="5" max="5" width="10.140625" customWidth="1"/>
    <col min="7" max="7" width="14.85546875" customWidth="1"/>
    <col min="9" max="10" width="10" customWidth="1"/>
    <col min="11" max="11" width="9" customWidth="1"/>
    <col min="12" max="12" width="9.85546875" customWidth="1"/>
    <col min="13" max="13" width="2.7109375" customWidth="1"/>
    <col min="14" max="14" width="9.85546875" customWidth="1"/>
    <col min="15" max="15" width="7.7109375" customWidth="1"/>
    <col min="16" max="16" width="2.7109375" customWidth="1"/>
  </cols>
  <sheetData>
    <row r="1" spans="1:16" ht="13.5" thickBot="1" x14ac:dyDescent="0.25">
      <c r="A1" s="169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45"/>
    </row>
    <row r="2" spans="1:16" ht="13.5" thickBot="1" x14ac:dyDescent="0.25">
      <c r="A2" s="171"/>
      <c r="B2" s="619" t="s">
        <v>42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1"/>
      <c r="P2" s="146"/>
    </row>
    <row r="3" spans="1:16" ht="13.5" thickBot="1" x14ac:dyDescent="0.25">
      <c r="A3" s="171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6"/>
    </row>
    <row r="4" spans="1:16" ht="13.5" thickBot="1" x14ac:dyDescent="0.25">
      <c r="A4" s="171"/>
      <c r="B4" s="4" t="s">
        <v>33</v>
      </c>
      <c r="C4" s="129" t="s">
        <v>50</v>
      </c>
      <c r="D4" s="148"/>
      <c r="E4" s="622" t="s">
        <v>45</v>
      </c>
      <c r="F4" s="623"/>
      <c r="G4" s="624"/>
      <c r="H4" s="149"/>
      <c r="I4" s="622" t="s">
        <v>19</v>
      </c>
      <c r="J4" s="623"/>
      <c r="K4" s="623"/>
      <c r="L4" s="624"/>
      <c r="M4" s="149"/>
      <c r="N4" s="148"/>
      <c r="O4" s="150"/>
      <c r="P4" s="146"/>
    </row>
    <row r="5" spans="1:16" ht="13.5" thickBot="1" x14ac:dyDescent="0.25">
      <c r="A5" s="171"/>
      <c r="B5" s="148"/>
      <c r="C5" s="148"/>
      <c r="D5" s="148"/>
      <c r="E5" s="4" t="s">
        <v>30</v>
      </c>
      <c r="F5" s="14"/>
      <c r="G5" s="63">
        <v>24.5</v>
      </c>
      <c r="H5" s="149"/>
      <c r="I5" s="321" t="s">
        <v>50</v>
      </c>
      <c r="J5" s="318">
        <v>29.84</v>
      </c>
      <c r="K5" s="88">
        <v>1194.2</v>
      </c>
      <c r="L5" s="89">
        <f>J5*K5</f>
        <v>35634.928</v>
      </c>
      <c r="M5" s="149"/>
      <c r="N5" s="148"/>
      <c r="O5" s="150"/>
      <c r="P5" s="146"/>
    </row>
    <row r="6" spans="1:16" ht="13.5" thickBot="1" x14ac:dyDescent="0.25">
      <c r="A6" s="171"/>
      <c r="B6" s="148"/>
      <c r="C6" s="148"/>
      <c r="D6" s="148"/>
      <c r="E6" s="148"/>
      <c r="F6" s="161"/>
      <c r="G6" s="161"/>
      <c r="H6" s="148"/>
      <c r="I6" s="82"/>
      <c r="J6" s="311" t="str">
        <f t="shared" ref="J6:J8" si="0">IF(I6="","",L6/K6)</f>
        <v/>
      </c>
      <c r="K6" s="76"/>
      <c r="L6" s="78"/>
      <c r="M6" s="148"/>
      <c r="N6" s="148"/>
      <c r="O6" s="148"/>
      <c r="P6" s="146"/>
    </row>
    <row r="7" spans="1:16" ht="13.5" thickBot="1" x14ac:dyDescent="0.25">
      <c r="A7" s="171"/>
      <c r="B7" s="148"/>
      <c r="C7" s="148"/>
      <c r="D7" s="148"/>
      <c r="E7" s="625" t="s">
        <v>40</v>
      </c>
      <c r="F7" s="626"/>
      <c r="G7" s="627"/>
      <c r="H7" s="148"/>
      <c r="I7" s="77"/>
      <c r="J7" s="311" t="str">
        <f t="shared" si="0"/>
        <v/>
      </c>
      <c r="K7" s="76"/>
      <c r="L7" s="78"/>
      <c r="M7" s="148"/>
      <c r="N7" s="148"/>
      <c r="O7" s="148"/>
      <c r="P7" s="146"/>
    </row>
    <row r="8" spans="1:16" ht="13.5" thickBot="1" x14ac:dyDescent="0.25">
      <c r="A8" s="171"/>
      <c r="B8" s="116" t="s">
        <v>87</v>
      </c>
      <c r="C8" s="110">
        <v>200</v>
      </c>
      <c r="D8" s="148"/>
      <c r="E8" s="628" t="str">
        <f>"Total Fuel (gal)    ="</f>
        <v>Total Fuel (gal)    =</v>
      </c>
      <c r="F8" s="629"/>
      <c r="G8" s="62"/>
      <c r="H8" s="196"/>
      <c r="I8" s="83"/>
      <c r="J8" s="312" t="str">
        <f t="shared" si="0"/>
        <v/>
      </c>
      <c r="K8" s="80"/>
      <c r="L8" s="81"/>
      <c r="M8" s="196"/>
      <c r="N8" s="196"/>
      <c r="O8" s="196"/>
      <c r="P8" s="166"/>
    </row>
    <row r="9" spans="1:16" ht="13.5" thickBot="1" x14ac:dyDescent="0.25">
      <c r="A9" s="171"/>
      <c r="B9" s="116" t="s">
        <v>89</v>
      </c>
      <c r="C9" s="65">
        <v>0</v>
      </c>
      <c r="D9" s="148"/>
      <c r="E9" s="148"/>
      <c r="F9" s="148"/>
      <c r="G9" s="148"/>
      <c r="H9" s="196"/>
      <c r="I9" s="245"/>
      <c r="J9" s="245"/>
      <c r="K9" s="213"/>
      <c r="L9" s="214"/>
      <c r="M9" s="196"/>
      <c r="N9" s="196"/>
      <c r="O9" s="196"/>
      <c r="P9" s="166"/>
    </row>
    <row r="10" spans="1:16" ht="13.5" thickBot="1" x14ac:dyDescent="0.25">
      <c r="A10" s="171"/>
      <c r="B10" s="74" t="s">
        <v>94</v>
      </c>
      <c r="C10" s="65">
        <v>15</v>
      </c>
      <c r="D10" s="148"/>
      <c r="E10" s="616" t="s">
        <v>22</v>
      </c>
      <c r="F10" s="617"/>
      <c r="G10" s="618"/>
      <c r="H10" s="196"/>
      <c r="I10" s="245"/>
      <c r="J10" s="245"/>
      <c r="K10" s="213"/>
      <c r="L10" s="214"/>
      <c r="M10" s="196"/>
      <c r="N10" s="196"/>
      <c r="O10" s="196"/>
      <c r="P10" s="166"/>
    </row>
    <row r="11" spans="1:16" ht="13.5" thickBot="1" x14ac:dyDescent="0.25">
      <c r="A11" s="171"/>
      <c r="B11" s="74" t="s">
        <v>95</v>
      </c>
      <c r="C11" s="62"/>
      <c r="D11" s="148"/>
      <c r="E11" s="24" t="str">
        <f>"Total Fuel (gal)       ="</f>
        <v>Total Fuel (gal)       =</v>
      </c>
      <c r="F11" s="11"/>
      <c r="G11" s="64">
        <v>8</v>
      </c>
      <c r="H11" s="196"/>
      <c r="I11" s="630"/>
      <c r="J11" s="630"/>
      <c r="K11" s="630"/>
      <c r="L11" s="630"/>
      <c r="M11" s="158"/>
      <c r="N11" s="158"/>
      <c r="O11" s="158"/>
      <c r="P11" s="191"/>
    </row>
    <row r="12" spans="1:16" ht="13.5" thickBot="1" x14ac:dyDescent="0.25">
      <c r="A12" s="171"/>
      <c r="B12" s="148"/>
      <c r="C12" s="161"/>
      <c r="D12" s="148"/>
      <c r="E12" s="15" t="s">
        <v>27</v>
      </c>
      <c r="F12" s="75"/>
      <c r="G12" s="66">
        <v>1</v>
      </c>
      <c r="H12" s="196"/>
      <c r="I12" s="196"/>
      <c r="J12" s="196"/>
      <c r="K12" s="196"/>
      <c r="L12" s="196"/>
      <c r="M12" s="158"/>
      <c r="N12" s="158"/>
      <c r="O12" s="158"/>
      <c r="P12" s="191"/>
    </row>
    <row r="13" spans="1:16" ht="13.5" thickBot="1" x14ac:dyDescent="0.25">
      <c r="A13" s="171"/>
      <c r="B13" s="148"/>
      <c r="C13" s="148"/>
      <c r="D13" s="148"/>
      <c r="E13" s="148"/>
      <c r="F13" s="159"/>
      <c r="G13" s="159"/>
      <c r="H13" s="203"/>
      <c r="I13" s="203"/>
      <c r="J13" s="203"/>
      <c r="K13" s="203"/>
      <c r="L13" s="196"/>
      <c r="M13" s="196"/>
      <c r="N13" s="631"/>
      <c r="O13" s="631"/>
      <c r="P13" s="191"/>
    </row>
    <row r="14" spans="1:16" ht="13.5" thickBot="1" x14ac:dyDescent="0.25">
      <c r="A14" s="171"/>
      <c r="B14" s="90" t="s">
        <v>2</v>
      </c>
      <c r="C14" s="91" t="s">
        <v>0</v>
      </c>
      <c r="D14" s="91" t="s">
        <v>3</v>
      </c>
      <c r="E14" s="92" t="s">
        <v>1</v>
      </c>
      <c r="F14" s="161"/>
      <c r="G14" s="160"/>
      <c r="H14" s="622" t="s">
        <v>54</v>
      </c>
      <c r="I14" s="624"/>
      <c r="J14" s="212"/>
      <c r="K14" s="212"/>
      <c r="L14" s="196"/>
      <c r="M14" s="196"/>
      <c r="N14" s="631"/>
      <c r="O14" s="631"/>
      <c r="P14" s="191"/>
    </row>
    <row r="15" spans="1:16" x14ac:dyDescent="0.2">
      <c r="A15" s="171"/>
      <c r="B15" s="30" t="str">
        <f>C4</f>
        <v>5428L</v>
      </c>
      <c r="C15" s="7"/>
      <c r="D15" s="26"/>
      <c r="E15" s="5"/>
      <c r="F15" s="201"/>
      <c r="G15" s="196"/>
      <c r="H15" s="196"/>
      <c r="I15" s="196"/>
      <c r="J15" s="196"/>
      <c r="K15" s="201"/>
      <c r="L15" s="196"/>
      <c r="M15" s="196"/>
      <c r="N15" s="193">
        <v>31</v>
      </c>
      <c r="O15" s="193">
        <v>1000</v>
      </c>
      <c r="P15" s="191"/>
    </row>
    <row r="16" spans="1:16" x14ac:dyDescent="0.2">
      <c r="A16" s="171"/>
      <c r="B16" s="1"/>
      <c r="C16" s="9"/>
      <c r="D16" s="27"/>
      <c r="E16" s="6"/>
      <c r="F16" s="201"/>
      <c r="G16" s="196"/>
      <c r="H16" s="196"/>
      <c r="I16" s="196"/>
      <c r="J16" s="196"/>
      <c r="K16" s="196"/>
      <c r="L16" s="196"/>
      <c r="M16" s="196"/>
      <c r="N16" s="193">
        <v>31</v>
      </c>
      <c r="O16" s="193">
        <v>1350</v>
      </c>
      <c r="P16" s="191"/>
    </row>
    <row r="17" spans="1:16" x14ac:dyDescent="0.2">
      <c r="A17" s="171"/>
      <c r="B17" s="1" t="s">
        <v>31</v>
      </c>
      <c r="C17" s="9">
        <f>IF(B15=I5,K5,IF(B15=I6,K6,IF(B15=I7,K7,IF(B15=I8,K8,IF(B15=I9,K9,IF(B15=I10,K10," "))))))</f>
        <v>1194.2</v>
      </c>
      <c r="D17" s="28">
        <f>IF(C17=0,0,(E17/C17))</f>
        <v>29.84</v>
      </c>
      <c r="E17" s="71">
        <f>IF(B15=I5,L5,IF(B15=I6,L6,IF(B15=I7,L7,IF(B15=I8,L8,IF(B15=I9,L9,IF(B15=I10,L10," "))))))</f>
        <v>35634.928</v>
      </c>
      <c r="F17" s="201"/>
      <c r="G17" s="196"/>
      <c r="H17" s="196"/>
      <c r="I17" s="196"/>
      <c r="J17" s="196"/>
      <c r="K17" s="196"/>
      <c r="L17" s="196"/>
      <c r="M17" s="196"/>
      <c r="N17" s="193">
        <v>32.6</v>
      </c>
      <c r="O17" s="193">
        <v>1670</v>
      </c>
      <c r="P17" s="191"/>
    </row>
    <row r="18" spans="1:16" x14ac:dyDescent="0.2">
      <c r="A18" s="171"/>
      <c r="B18" s="1" t="s">
        <v>15</v>
      </c>
      <c r="C18" s="20">
        <f>C8+C9</f>
        <v>200</v>
      </c>
      <c r="D18" s="28">
        <v>39</v>
      </c>
      <c r="E18" s="17">
        <f>IF(C18=0,0,C18*D18)</f>
        <v>7800</v>
      </c>
      <c r="F18" s="196"/>
      <c r="G18" s="196"/>
      <c r="H18" s="196"/>
      <c r="I18" s="196"/>
      <c r="J18" s="196"/>
      <c r="K18" s="196"/>
      <c r="L18" s="196"/>
      <c r="M18" s="196"/>
      <c r="N18" s="193">
        <v>36.5</v>
      </c>
      <c r="O18" s="193">
        <v>1670</v>
      </c>
      <c r="P18" s="191"/>
    </row>
    <row r="19" spans="1:16" x14ac:dyDescent="0.2">
      <c r="A19" s="171"/>
      <c r="B19" s="73" t="s">
        <v>48</v>
      </c>
      <c r="C19" s="20">
        <f>C10</f>
        <v>15</v>
      </c>
      <c r="D19" s="28">
        <v>64</v>
      </c>
      <c r="E19" s="17">
        <f>IF(C19=0,0,C19*D19)</f>
        <v>960</v>
      </c>
      <c r="F19" s="196"/>
      <c r="G19" s="196"/>
      <c r="H19" s="202"/>
      <c r="I19" s="202"/>
      <c r="J19" s="202"/>
      <c r="K19" s="202"/>
      <c r="L19" s="196"/>
      <c r="M19" s="196"/>
      <c r="N19" s="193">
        <v>36.5</v>
      </c>
      <c r="O19" s="193">
        <v>1000</v>
      </c>
      <c r="P19" s="191"/>
    </row>
    <row r="20" spans="1:16" x14ac:dyDescent="0.2">
      <c r="A20" s="171"/>
      <c r="B20" s="72" t="s">
        <v>55</v>
      </c>
      <c r="C20" s="20">
        <f>C11</f>
        <v>0</v>
      </c>
      <c r="D20" s="28">
        <v>84</v>
      </c>
      <c r="E20" s="17">
        <f>IF(C20=0,0,C20*D20)</f>
        <v>0</v>
      </c>
      <c r="F20" s="196"/>
      <c r="G20" s="196"/>
      <c r="H20" s="196"/>
      <c r="I20" s="196"/>
      <c r="J20" s="196"/>
      <c r="K20" s="196"/>
      <c r="L20" s="196"/>
      <c r="M20" s="196"/>
      <c r="N20" s="193">
        <v>31</v>
      </c>
      <c r="O20" s="193">
        <v>1000</v>
      </c>
      <c r="P20" s="191"/>
    </row>
    <row r="21" spans="1:16" x14ac:dyDescent="0.2">
      <c r="A21" s="171"/>
      <c r="B21" s="72"/>
      <c r="C21" s="20"/>
      <c r="D21" s="28"/>
      <c r="E21" s="17"/>
      <c r="F21" s="196"/>
      <c r="G21" s="196"/>
      <c r="H21" s="201"/>
      <c r="I21" s="201"/>
      <c r="J21" s="201"/>
      <c r="K21" s="201"/>
      <c r="L21" s="196"/>
      <c r="M21" s="196"/>
      <c r="N21" s="193"/>
      <c r="O21" s="193"/>
      <c r="P21" s="191"/>
    </row>
    <row r="22" spans="1:16" x14ac:dyDescent="0.2">
      <c r="A22" s="171"/>
      <c r="B22" s="93" t="s">
        <v>16</v>
      </c>
      <c r="C22" s="94">
        <f>IF(B15=0,0,SUM(C17:C21))</f>
        <v>1409.2</v>
      </c>
      <c r="D22" s="95">
        <f>E22/C22</f>
        <v>31.503638944081747</v>
      </c>
      <c r="E22" s="96">
        <f>IF(B15="See Other Chart",0,SUM(E17:E21))</f>
        <v>44394.928</v>
      </c>
      <c r="F22" s="196"/>
      <c r="G22" s="196"/>
      <c r="H22" s="201"/>
      <c r="I22" s="201"/>
      <c r="J22" s="201"/>
      <c r="K22" s="201"/>
      <c r="L22" s="196"/>
      <c r="M22" s="196"/>
      <c r="N22" s="193">
        <f>D26</f>
        <v>32.458346019868401</v>
      </c>
      <c r="O22" s="193">
        <f>C26</f>
        <v>1550.2</v>
      </c>
      <c r="P22" s="191"/>
    </row>
    <row r="23" spans="1:16" x14ac:dyDescent="0.2">
      <c r="A23" s="171"/>
      <c r="B23" s="1" t="s">
        <v>32</v>
      </c>
      <c r="C23" s="19">
        <f>IF(C17=0,0,IF(G8="",G5*6,G8*6))</f>
        <v>147</v>
      </c>
      <c r="D23" s="29">
        <v>42</v>
      </c>
      <c r="E23" s="17">
        <f>IF(C23=0,0,C23*D23)</f>
        <v>6174</v>
      </c>
      <c r="F23" s="196"/>
      <c r="G23" s="196"/>
      <c r="H23" s="196"/>
      <c r="I23" s="203"/>
      <c r="J23" s="203"/>
      <c r="K23" s="203"/>
      <c r="L23" s="196"/>
      <c r="M23" s="196"/>
      <c r="N23" s="193">
        <f>D29</f>
        <v>32.153460258287843</v>
      </c>
      <c r="O23" s="193">
        <f>C29</f>
        <v>1502.2</v>
      </c>
      <c r="P23" s="191"/>
    </row>
    <row r="24" spans="1:16" x14ac:dyDescent="0.2">
      <c r="A24" s="171"/>
      <c r="B24" s="1"/>
      <c r="C24" s="69"/>
      <c r="D24" s="22"/>
      <c r="E24" s="23"/>
      <c r="F24" s="196"/>
      <c r="G24" s="196"/>
      <c r="H24" s="196"/>
      <c r="I24" s="196"/>
      <c r="J24" s="196"/>
      <c r="K24" s="196"/>
      <c r="L24" s="196"/>
      <c r="M24" s="196"/>
      <c r="N24" s="193">
        <f>D22</f>
        <v>31.503638944081747</v>
      </c>
      <c r="O24" s="193">
        <f>C22</f>
        <v>1409.2</v>
      </c>
      <c r="P24" s="191"/>
    </row>
    <row r="25" spans="1:16" x14ac:dyDescent="0.2">
      <c r="A25" s="171"/>
      <c r="B25" s="10" t="s">
        <v>28</v>
      </c>
      <c r="C25" s="58">
        <f>IF(B15="",0,G12*6*-1)</f>
        <v>-6</v>
      </c>
      <c r="D25" s="29">
        <v>42</v>
      </c>
      <c r="E25" s="17">
        <f>IF(C25=0,0,C25*D25)</f>
        <v>-252</v>
      </c>
      <c r="F25" s="196"/>
      <c r="G25" s="196"/>
      <c r="H25" s="197"/>
      <c r="I25" s="215"/>
      <c r="J25" s="215"/>
      <c r="K25" s="199"/>
      <c r="L25" s="196"/>
      <c r="M25" s="196"/>
      <c r="N25" s="193"/>
      <c r="O25" s="193"/>
      <c r="P25" s="191"/>
    </row>
    <row r="26" spans="1:16" x14ac:dyDescent="0.2">
      <c r="A26" s="171"/>
      <c r="B26" s="93" t="s">
        <v>4</v>
      </c>
      <c r="C26" s="94">
        <f>IF(B15="",0,SUM(C22:C23)+C25)</f>
        <v>1550.2</v>
      </c>
      <c r="D26" s="95">
        <f>IF(C26=0,0,E26/C26)</f>
        <v>32.458346019868401</v>
      </c>
      <c r="E26" s="96">
        <f>IF(B15="See Other Chart",0,SUM(E22:E25))</f>
        <v>50316.928</v>
      </c>
      <c r="F26" s="196"/>
      <c r="G26" s="196"/>
      <c r="H26" s="197"/>
      <c r="I26" s="215"/>
      <c r="J26" s="215"/>
      <c r="K26" s="199"/>
      <c r="L26" s="196"/>
      <c r="M26" s="196"/>
      <c r="N26" s="193">
        <v>33</v>
      </c>
      <c r="O26" s="193">
        <f>C17</f>
        <v>1194.2</v>
      </c>
      <c r="P26" s="191"/>
    </row>
    <row r="27" spans="1:16" x14ac:dyDescent="0.2">
      <c r="A27" s="171"/>
      <c r="B27" s="1"/>
      <c r="C27" s="21"/>
      <c r="D27" s="29"/>
      <c r="E27" s="23"/>
      <c r="F27" s="196"/>
      <c r="G27" s="196"/>
      <c r="H27" s="197"/>
      <c r="I27" s="215"/>
      <c r="J27" s="215"/>
      <c r="K27" s="199"/>
      <c r="L27" s="196"/>
      <c r="M27" s="196"/>
      <c r="N27" s="193"/>
      <c r="O27" s="193"/>
      <c r="P27" s="191"/>
    </row>
    <row r="28" spans="1:16" x14ac:dyDescent="0.2">
      <c r="A28" s="171"/>
      <c r="B28" s="10" t="s">
        <v>14</v>
      </c>
      <c r="C28" s="21">
        <f>IF(B15="",0,(G11*6*-1))</f>
        <v>-48</v>
      </c>
      <c r="D28" s="29">
        <v>42</v>
      </c>
      <c r="E28" s="17">
        <f>IF(C28=0,0,C28*D28)</f>
        <v>-2016</v>
      </c>
      <c r="F28" s="196"/>
      <c r="G28" s="196"/>
      <c r="H28" s="197"/>
      <c r="I28" s="215"/>
      <c r="J28" s="215"/>
      <c r="K28" s="199"/>
      <c r="L28" s="196"/>
      <c r="M28" s="196"/>
      <c r="N28" s="168"/>
      <c r="O28" s="168"/>
      <c r="P28" s="191"/>
    </row>
    <row r="29" spans="1:16" ht="13.5" thickBot="1" x14ac:dyDescent="0.25">
      <c r="A29" s="171"/>
      <c r="B29" s="93" t="s">
        <v>5</v>
      </c>
      <c r="C29" s="94">
        <f>IF(B15="",0,C26+C28)</f>
        <v>1502.2</v>
      </c>
      <c r="D29" s="95">
        <f>IF(C29=0,0,E29/C29)</f>
        <v>32.153460258287843</v>
      </c>
      <c r="E29" s="96">
        <f>IF(B15="",0,E26+E28)</f>
        <v>48300.928</v>
      </c>
      <c r="F29" s="196"/>
      <c r="G29" s="196"/>
      <c r="H29" s="197"/>
      <c r="I29" s="198"/>
      <c r="J29" s="198"/>
      <c r="K29" s="199"/>
      <c r="L29" s="196"/>
      <c r="M29" s="196"/>
      <c r="N29" s="193">
        <f>N22</f>
        <v>32.458346019868401</v>
      </c>
      <c r="O29" s="193">
        <f>O22</f>
        <v>1550.2</v>
      </c>
      <c r="P29" s="191"/>
    </row>
    <row r="30" spans="1:16" x14ac:dyDescent="0.2">
      <c r="A30" s="171"/>
      <c r="B30" s="249" t="s">
        <v>72</v>
      </c>
      <c r="C30" s="269">
        <f>O18-C17</f>
        <v>475.79999999999995</v>
      </c>
      <c r="D30" s="266"/>
      <c r="E30" s="261"/>
      <c r="F30" s="196"/>
      <c r="G30" s="196"/>
      <c r="H30" s="197"/>
      <c r="I30" s="198"/>
      <c r="J30" s="198"/>
      <c r="K30" s="199"/>
      <c r="L30" s="196"/>
      <c r="M30" s="196"/>
      <c r="N30" s="193">
        <f>IF(N34="","",(E22+N34+E25)/(C22+N32-C25))</f>
        <v>30.487023428498272</v>
      </c>
      <c r="O30" s="193">
        <f>IF(B15="","",(C22+N32-C25))</f>
        <v>1562.2</v>
      </c>
      <c r="P30" s="191"/>
    </row>
    <row r="31" spans="1:16" x14ac:dyDescent="0.2">
      <c r="A31" s="171"/>
      <c r="B31" s="273" t="s">
        <v>93</v>
      </c>
      <c r="C31" s="268">
        <f>C30-C23</f>
        <v>328.79999999999995</v>
      </c>
      <c r="D31" s="259"/>
      <c r="E31" s="276"/>
      <c r="F31" s="148"/>
      <c r="G31" s="177"/>
      <c r="H31" s="178"/>
      <c r="I31" s="179"/>
      <c r="J31" s="179"/>
      <c r="K31" s="163"/>
      <c r="L31" s="152"/>
      <c r="M31" s="196"/>
      <c r="N31" s="331"/>
      <c r="O31" s="196"/>
      <c r="P31" s="191"/>
    </row>
    <row r="32" spans="1:16" ht="13.5" thickBot="1" x14ac:dyDescent="0.25">
      <c r="A32" s="171"/>
      <c r="B32" s="282" t="s">
        <v>73</v>
      </c>
      <c r="C32" s="283">
        <f>IF(C30="","",C30-(C23+C8+C9+C10+C11))</f>
        <v>113.79999999999995</v>
      </c>
      <c r="D32" s="632" t="str">
        <f>IF(C32&lt;0,"&lt;&lt;&lt;&lt;&lt;&lt;  Over Loaded! ","")</f>
        <v/>
      </c>
      <c r="E32" s="633"/>
      <c r="F32" s="148"/>
      <c r="G32" s="151"/>
      <c r="H32" s="172"/>
      <c r="I32" s="308" t="s">
        <v>79</v>
      </c>
      <c r="J32" s="180"/>
      <c r="K32" s="164"/>
      <c r="L32" s="152"/>
      <c r="M32" s="196"/>
      <c r="N32" s="193">
        <v>147</v>
      </c>
      <c r="O32" s="196"/>
      <c r="P32" s="147"/>
    </row>
    <row r="33" spans="1:16" ht="13.5" thickBot="1" x14ac:dyDescent="0.25">
      <c r="A33" s="171"/>
      <c r="B33" s="135"/>
      <c r="C33" s="135"/>
      <c r="D33" s="135"/>
      <c r="E33" s="135"/>
      <c r="F33" s="148"/>
      <c r="G33" s="153"/>
      <c r="H33" s="153"/>
      <c r="I33" s="296">
        <v>25</v>
      </c>
      <c r="J33" s="153"/>
      <c r="K33" s="168"/>
      <c r="L33" s="152"/>
      <c r="M33" s="196"/>
      <c r="N33" s="220">
        <v>23.7</v>
      </c>
      <c r="O33" s="196"/>
      <c r="P33" s="147"/>
    </row>
    <row r="34" spans="1:16" x14ac:dyDescent="0.2">
      <c r="A34" s="171"/>
      <c r="B34" s="567" t="s">
        <v>126</v>
      </c>
      <c r="C34" s="568">
        <v>104</v>
      </c>
      <c r="D34" s="135"/>
      <c r="E34" s="135"/>
      <c r="F34" s="136"/>
      <c r="G34" s="299" t="s">
        <v>71</v>
      </c>
      <c r="H34" s="141">
        <v>210</v>
      </c>
      <c r="I34" s="295" t="s">
        <v>74</v>
      </c>
      <c r="J34" s="141"/>
      <c r="K34" s="187"/>
      <c r="L34" s="135"/>
      <c r="M34" s="196"/>
      <c r="N34" s="345">
        <f>N32*N33</f>
        <v>3483.9</v>
      </c>
      <c r="O34" s="168"/>
      <c r="P34" s="147"/>
    </row>
    <row r="35" spans="1:16" x14ac:dyDescent="0.2">
      <c r="A35" s="171"/>
      <c r="B35" s="567" t="s">
        <v>128</v>
      </c>
      <c r="C35" s="569">
        <f>C34*(SQRT(C26/O17))</f>
        <v>100.20028804624715</v>
      </c>
      <c r="D35" s="135"/>
      <c r="E35" s="135"/>
      <c r="F35" s="135"/>
      <c r="G35" s="299" t="s">
        <v>70</v>
      </c>
      <c r="H35" s="141">
        <v>10</v>
      </c>
      <c r="I35" s="295" t="s">
        <v>76</v>
      </c>
      <c r="J35" s="141">
        <v>20</v>
      </c>
      <c r="K35" s="302"/>
      <c r="L35" s="242"/>
      <c r="M35" s="196"/>
      <c r="N35" s="168"/>
      <c r="O35" s="168"/>
      <c r="P35" s="147"/>
    </row>
    <row r="36" spans="1:16" x14ac:dyDescent="0.2">
      <c r="A36" s="171"/>
      <c r="B36" s="567" t="s">
        <v>127</v>
      </c>
      <c r="C36" s="569">
        <f>C34*(SQRT(C29/O17))</f>
        <v>98.636801867430449</v>
      </c>
      <c r="D36" s="242"/>
      <c r="E36" s="242"/>
      <c r="F36" s="242"/>
      <c r="G36" s="135"/>
      <c r="H36" s="153"/>
      <c r="I36" s="153"/>
      <c r="J36" s="153"/>
      <c r="K36" s="153"/>
      <c r="L36" s="243"/>
      <c r="M36" s="196"/>
      <c r="N36" s="580"/>
      <c r="O36" s="168"/>
      <c r="P36" s="147"/>
    </row>
    <row r="37" spans="1:16" x14ac:dyDescent="0.2">
      <c r="A37" s="171"/>
      <c r="B37" s="615"/>
      <c r="C37" s="615"/>
      <c r="D37" s="139"/>
      <c r="E37" s="142"/>
      <c r="F37" s="139"/>
      <c r="G37" s="613" t="s">
        <v>78</v>
      </c>
      <c r="H37" s="614"/>
      <c r="I37" s="194">
        <f>IF(H35="","",H35*ABS(SIN(RADIANS(H34-(I33*10)))))</f>
        <v>6.4278760968653925</v>
      </c>
      <c r="J37" s="137" t="s">
        <v>75</v>
      </c>
      <c r="K37" s="194">
        <f>IF(J35="","",J35*ABS(SIN(RADIANS(H34-(I33*10)))))</f>
        <v>12.855752193730785</v>
      </c>
      <c r="L37" s="298"/>
      <c r="M37" s="196"/>
      <c r="N37" s="580"/>
      <c r="O37" s="168"/>
      <c r="P37" s="147"/>
    </row>
    <row r="38" spans="1:16" x14ac:dyDescent="0.2">
      <c r="A38" s="171"/>
      <c r="B38" s="143"/>
      <c r="C38" s="144"/>
      <c r="D38" s="138"/>
      <c r="E38" s="139"/>
      <c r="F38" s="143"/>
      <c r="G38" s="613" t="s">
        <v>77</v>
      </c>
      <c r="H38" s="614"/>
      <c r="I38" s="194" t="str">
        <f>IF(J34="","",H35*ABS(SIN(RADIANS(H34-(I33*10)))))</f>
        <v/>
      </c>
      <c r="J38" s="195" t="s">
        <v>75</v>
      </c>
      <c r="K38" s="194" t="str">
        <f>IF(J34="","",IF(J35="",H35*ABS(SIN(RADIANS(J34-(I33*10)))),J35*ABS(SIN(RADIANS(J34-(I33*10))))))</f>
        <v/>
      </c>
      <c r="L38" s="297"/>
      <c r="M38" s="196"/>
      <c r="N38" s="193"/>
      <c r="O38" s="193"/>
      <c r="P38" s="147"/>
    </row>
    <row r="39" spans="1:16" ht="13.5" thickBot="1" x14ac:dyDescent="0.25">
      <c r="A39" s="181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244"/>
    </row>
  </sheetData>
  <mergeCells count="14">
    <mergeCell ref="G38:H38"/>
    <mergeCell ref="B37:C37"/>
    <mergeCell ref="E10:G10"/>
    <mergeCell ref="B2:O2"/>
    <mergeCell ref="E4:G4"/>
    <mergeCell ref="I4:L4"/>
    <mergeCell ref="E7:G7"/>
    <mergeCell ref="E8:F8"/>
    <mergeCell ref="I11:L11"/>
    <mergeCell ref="N13:O13"/>
    <mergeCell ref="N14:O14"/>
    <mergeCell ref="H14:I14"/>
    <mergeCell ref="D32:E32"/>
    <mergeCell ref="G37:H37"/>
  </mergeCells>
  <dataValidations count="1">
    <dataValidation type="list" allowBlank="1" showInputMessage="1" showErrorMessage="1" sqref="C4:C6" xr:uid="{00000000-0002-0000-0000-000000000000}">
      <formula1>$I$5:$I$10</formula1>
    </dataValidation>
  </dataValidations>
  <pageMargins left="0.7" right="0.7" top="0.75" bottom="0.75" header="0.3" footer="0.3"/>
  <pageSetup scale="84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3366FF"/>
    <pageSetUpPr fitToPage="1"/>
  </sheetPr>
  <dimension ref="A1:P37"/>
  <sheetViews>
    <sheetView zoomScale="90" zoomScaleNormal="90" workbookViewId="0">
      <selection activeCell="G7" sqref="G7"/>
    </sheetView>
  </sheetViews>
  <sheetFormatPr defaultRowHeight="12.75" x14ac:dyDescent="0.2"/>
  <cols>
    <col min="1" max="1" width="2.7109375" customWidth="1"/>
    <col min="2" max="2" width="21.5703125" customWidth="1"/>
    <col min="3" max="4" width="9.28515625" bestFit="1" customWidth="1"/>
    <col min="5" max="5" width="10.140625" bestFit="1" customWidth="1"/>
    <col min="7" max="7" width="14.85546875" customWidth="1"/>
    <col min="9" max="9" width="10" bestFit="1" customWidth="1"/>
    <col min="10" max="11" width="9" customWidth="1"/>
    <col min="12" max="12" width="9.85546875" customWidth="1"/>
    <col min="13" max="13" width="2.7109375" customWidth="1"/>
    <col min="14" max="14" width="9.85546875" customWidth="1"/>
    <col min="15" max="15" width="7.7109375" bestFit="1" customWidth="1"/>
    <col min="16" max="16" width="2.7109375" customWidth="1"/>
  </cols>
  <sheetData>
    <row r="1" spans="1:16" ht="13.5" thickBot="1" x14ac:dyDescent="0.25">
      <c r="A1" s="206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9"/>
    </row>
    <row r="2" spans="1:16" ht="13.5" thickBot="1" x14ac:dyDescent="0.25">
      <c r="A2" s="204"/>
      <c r="B2" s="680" t="s">
        <v>41</v>
      </c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2"/>
      <c r="P2" s="166"/>
    </row>
    <row r="3" spans="1:16" ht="13.5" thickBot="1" x14ac:dyDescent="0.25">
      <c r="A3" s="204"/>
      <c r="B3" s="196"/>
      <c r="C3" s="196"/>
      <c r="D3" s="196"/>
      <c r="E3" s="196"/>
      <c r="F3" s="201"/>
      <c r="G3" s="196"/>
      <c r="H3" s="196"/>
      <c r="I3" s="205"/>
      <c r="J3" s="205"/>
      <c r="K3" s="205"/>
      <c r="L3" s="196"/>
      <c r="M3" s="196"/>
      <c r="N3" s="196"/>
      <c r="O3" s="196"/>
      <c r="P3" s="166"/>
    </row>
    <row r="4" spans="1:16" ht="13.5" thickBot="1" x14ac:dyDescent="0.25">
      <c r="A4" s="204"/>
      <c r="B4" s="116" t="s">
        <v>33</v>
      </c>
      <c r="C4" s="127">
        <v>55414</v>
      </c>
      <c r="D4" s="196"/>
      <c r="E4" s="663" t="s">
        <v>61</v>
      </c>
      <c r="F4" s="620"/>
      <c r="G4" s="621"/>
      <c r="H4" s="196"/>
      <c r="I4" s="683" t="s">
        <v>40</v>
      </c>
      <c r="J4" s="684"/>
      <c r="K4" s="685"/>
      <c r="L4" s="686"/>
      <c r="M4" s="196"/>
      <c r="N4" s="196"/>
      <c r="O4" s="202"/>
      <c r="P4" s="166"/>
    </row>
    <row r="5" spans="1:16" ht="13.5" thickBot="1" x14ac:dyDescent="0.25">
      <c r="A5" s="204"/>
      <c r="B5" s="196"/>
      <c r="C5" s="196"/>
      <c r="D5" s="196"/>
      <c r="E5" s="664" t="str">
        <f>"Left Wing Fuel"</f>
        <v>Left Wing Fuel</v>
      </c>
      <c r="F5" s="665"/>
      <c r="G5" s="122">
        <v>46.5</v>
      </c>
      <c r="H5" s="196"/>
      <c r="I5" s="664" t="str">
        <f>"Left Wing Fuel"</f>
        <v>Left Wing Fuel</v>
      </c>
      <c r="J5" s="687"/>
      <c r="K5" s="665"/>
      <c r="L5" s="121"/>
      <c r="M5" s="196"/>
      <c r="N5" s="196"/>
      <c r="O5" s="202"/>
      <c r="P5" s="166"/>
    </row>
    <row r="6" spans="1:16" ht="13.5" thickBot="1" x14ac:dyDescent="0.25">
      <c r="A6" s="204"/>
      <c r="B6" s="109" t="str">
        <f>"Pilot &amp; Front Pax"</f>
        <v>Pilot &amp; Front Pax</v>
      </c>
      <c r="C6" s="110">
        <v>380</v>
      </c>
      <c r="D6" s="196"/>
      <c r="E6" s="666" t="str">
        <f>"Right Wing Fuel"</f>
        <v>Right Wing Fuel</v>
      </c>
      <c r="F6" s="667"/>
      <c r="G6" s="115">
        <v>46.5</v>
      </c>
      <c r="H6" s="196"/>
      <c r="I6" s="666" t="str">
        <f>"Right Wing Fuel"</f>
        <v>Right Wing Fuel</v>
      </c>
      <c r="J6" s="688"/>
      <c r="K6" s="667"/>
      <c r="L6" s="62"/>
      <c r="M6" s="196"/>
      <c r="N6" s="196"/>
      <c r="O6" s="196"/>
      <c r="P6" s="166"/>
    </row>
    <row r="7" spans="1:16" ht="13.5" thickBot="1" x14ac:dyDescent="0.25">
      <c r="A7" s="204"/>
      <c r="B7" s="111" t="str">
        <f>"Center Seats"</f>
        <v>Center Seats</v>
      </c>
      <c r="C7" s="65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66"/>
    </row>
    <row r="8" spans="1:16" ht="13.5" thickBot="1" x14ac:dyDescent="0.25">
      <c r="A8" s="204"/>
      <c r="B8" s="111" t="str">
        <f>"Rear Seats"</f>
        <v>Rear Seats</v>
      </c>
      <c r="C8" s="65">
        <v>40</v>
      </c>
      <c r="D8" s="196"/>
      <c r="E8" s="196"/>
      <c r="F8" s="196"/>
      <c r="G8" s="196"/>
      <c r="H8" s="196"/>
      <c r="I8" s="663" t="s">
        <v>19</v>
      </c>
      <c r="J8" s="620"/>
      <c r="K8" s="620"/>
      <c r="L8" s="621"/>
      <c r="M8" s="196"/>
      <c r="N8" s="196"/>
      <c r="O8" s="196"/>
      <c r="P8" s="223"/>
    </row>
    <row r="9" spans="1:16" x14ac:dyDescent="0.2">
      <c r="A9" s="204"/>
      <c r="B9" s="111" t="str">
        <f>"Jump Seat"</f>
        <v>Jump Seat</v>
      </c>
      <c r="C9" s="114"/>
      <c r="D9" s="196"/>
      <c r="E9" s="196"/>
      <c r="F9" s="196"/>
      <c r="G9" s="196"/>
      <c r="H9" s="196"/>
      <c r="I9" s="313">
        <v>55414</v>
      </c>
      <c r="J9" s="314">
        <v>84.34</v>
      </c>
      <c r="K9" s="315">
        <v>2798.4</v>
      </c>
      <c r="L9" s="316">
        <v>236036.5</v>
      </c>
      <c r="M9" s="196"/>
      <c r="N9" s="631" t="s">
        <v>20</v>
      </c>
      <c r="O9" s="631"/>
      <c r="P9" s="166"/>
    </row>
    <row r="10" spans="1:16" ht="13.5" thickBot="1" x14ac:dyDescent="0.25">
      <c r="A10" s="204"/>
      <c r="B10" s="112" t="str">
        <f>"Forward Baggage"</f>
        <v>Forward Baggage</v>
      </c>
      <c r="C10" s="65"/>
      <c r="D10" s="196"/>
      <c r="E10" s="630"/>
      <c r="F10" s="630"/>
      <c r="G10" s="630"/>
      <c r="H10" s="196"/>
      <c r="I10" s="87"/>
      <c r="J10" s="311" t="str">
        <f t="shared" ref="J10:J11" si="0">IF(I10="","",L10/K10)</f>
        <v/>
      </c>
      <c r="K10" s="76"/>
      <c r="L10" s="78"/>
      <c r="M10" s="196"/>
      <c r="N10" s="631" t="s">
        <v>21</v>
      </c>
      <c r="O10" s="631"/>
      <c r="P10" s="166"/>
    </row>
    <row r="11" spans="1:16" ht="13.5" thickBot="1" x14ac:dyDescent="0.25">
      <c r="A11" s="204"/>
      <c r="B11" s="113" t="str">
        <f>"Rear Baggage"</f>
        <v>Rear Baggage</v>
      </c>
      <c r="C11" s="62">
        <v>20</v>
      </c>
      <c r="D11" s="196"/>
      <c r="E11" s="670" t="s">
        <v>65</v>
      </c>
      <c r="F11" s="671"/>
      <c r="G11" s="120">
        <v>20</v>
      </c>
      <c r="H11" s="196"/>
      <c r="I11" s="133"/>
      <c r="J11" s="312" t="str">
        <f t="shared" si="0"/>
        <v/>
      </c>
      <c r="K11" s="85"/>
      <c r="L11" s="86"/>
      <c r="M11" s="196"/>
      <c r="N11" s="196"/>
      <c r="O11" s="196"/>
      <c r="P11" s="166"/>
    </row>
    <row r="12" spans="1:16" ht="13.5" thickBot="1" x14ac:dyDescent="0.25">
      <c r="A12" s="204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3">
        <v>100.5</v>
      </c>
      <c r="O12" s="193">
        <f>C17</f>
        <v>2798.4</v>
      </c>
      <c r="P12" s="219"/>
    </row>
    <row r="13" spans="1:16" ht="13.5" thickBot="1" x14ac:dyDescent="0.25">
      <c r="A13" s="204"/>
      <c r="B13" s="196"/>
      <c r="C13" s="196"/>
      <c r="D13" s="196"/>
      <c r="E13" s="196"/>
      <c r="F13" s="196"/>
      <c r="G13" s="212"/>
      <c r="H13" s="678" t="s">
        <v>56</v>
      </c>
      <c r="I13" s="679"/>
      <c r="J13" s="196"/>
      <c r="K13" s="212"/>
      <c r="L13" s="158"/>
      <c r="M13" s="152"/>
      <c r="N13" s="152"/>
      <c r="O13" s="152"/>
      <c r="P13" s="504"/>
    </row>
    <row r="14" spans="1:16" x14ac:dyDescent="0.2">
      <c r="A14" s="204"/>
      <c r="B14" s="90" t="s">
        <v>2</v>
      </c>
      <c r="C14" s="91" t="s">
        <v>0</v>
      </c>
      <c r="D14" s="107" t="s">
        <v>3</v>
      </c>
      <c r="E14" s="350" t="s">
        <v>1</v>
      </c>
      <c r="F14" s="148"/>
      <c r="G14" s="148"/>
      <c r="H14" s="148"/>
      <c r="I14" s="148"/>
      <c r="J14" s="148"/>
      <c r="K14" s="148"/>
      <c r="L14" s="196"/>
      <c r="M14" s="196"/>
      <c r="N14" s="193">
        <v>80.7</v>
      </c>
      <c r="O14" s="193">
        <f>C17</f>
        <v>2798.4</v>
      </c>
      <c r="P14" s="504"/>
    </row>
    <row r="15" spans="1:16" x14ac:dyDescent="0.2">
      <c r="A15" s="204"/>
      <c r="B15" s="30">
        <f>IF(C4=I9,I9,IF(C4=I10,I10,IF(C4=I11,I11,"")))</f>
        <v>55414</v>
      </c>
      <c r="C15" s="7"/>
      <c r="D15" s="8"/>
      <c r="E15" s="5"/>
      <c r="F15" s="148"/>
      <c r="G15" s="148"/>
      <c r="H15" s="148"/>
      <c r="I15" s="148"/>
      <c r="J15" s="148"/>
      <c r="K15" s="148"/>
      <c r="L15" s="196"/>
      <c r="M15" s="196"/>
      <c r="N15" s="193">
        <v>80.7</v>
      </c>
      <c r="O15" s="193">
        <v>2800</v>
      </c>
      <c r="P15" s="505"/>
    </row>
    <row r="16" spans="1:16" x14ac:dyDescent="0.2">
      <c r="A16" s="204"/>
      <c r="B16" s="1"/>
      <c r="C16" s="347"/>
      <c r="D16" s="2"/>
      <c r="E16" s="6"/>
      <c r="F16" s="148"/>
      <c r="G16" s="148"/>
      <c r="H16" s="148"/>
      <c r="I16" s="148"/>
      <c r="J16" s="148"/>
      <c r="K16" s="148"/>
      <c r="L16" s="196"/>
      <c r="M16" s="196"/>
      <c r="N16" s="193">
        <v>82</v>
      </c>
      <c r="O16" s="193">
        <v>3400</v>
      </c>
      <c r="P16" s="505"/>
    </row>
    <row r="17" spans="1:16" x14ac:dyDescent="0.2">
      <c r="A17" s="204"/>
      <c r="B17" s="1" t="s">
        <v>60</v>
      </c>
      <c r="C17" s="37">
        <f>IF(B15=I9,K9,0)</f>
        <v>2798.4</v>
      </c>
      <c r="D17" s="309">
        <f>IF(C17=0,0,(E17/C17))</f>
        <v>84.346948256146362</v>
      </c>
      <c r="E17" s="17">
        <f>IF(B15=I9,L9,0)</f>
        <v>236036.5</v>
      </c>
      <c r="F17" s="149"/>
      <c r="G17" s="148"/>
      <c r="H17" s="148"/>
      <c r="I17" s="148"/>
      <c r="J17" s="148"/>
      <c r="K17" s="148"/>
      <c r="L17" s="196"/>
      <c r="M17" s="196"/>
      <c r="N17" s="193">
        <v>85</v>
      </c>
      <c r="O17" s="193">
        <v>3800</v>
      </c>
      <c r="P17" s="506"/>
    </row>
    <row r="18" spans="1:16" x14ac:dyDescent="0.2">
      <c r="A18" s="204"/>
      <c r="B18" s="73" t="s">
        <v>62</v>
      </c>
      <c r="C18" s="37">
        <f>IF(B15="",0,C6)</f>
        <v>380</v>
      </c>
      <c r="D18" s="309">
        <v>85.5</v>
      </c>
      <c r="E18" s="17">
        <f t="shared" ref="E18:E23" si="1">IF(C18=0,0,C18*D18)</f>
        <v>32490</v>
      </c>
      <c r="F18" s="149"/>
      <c r="G18" s="148"/>
      <c r="H18" s="148"/>
      <c r="I18" s="148"/>
      <c r="J18" s="148"/>
      <c r="K18" s="148"/>
      <c r="L18" s="196"/>
      <c r="M18" s="196"/>
      <c r="N18" s="193">
        <v>88</v>
      </c>
      <c r="O18" s="193">
        <v>4200</v>
      </c>
      <c r="P18" s="506"/>
    </row>
    <row r="19" spans="1:16" x14ac:dyDescent="0.2">
      <c r="A19" s="204"/>
      <c r="B19" s="73" t="s">
        <v>59</v>
      </c>
      <c r="C19" s="37">
        <f>IF(B15="",0,C7)</f>
        <v>0</v>
      </c>
      <c r="D19" s="309">
        <v>118.1</v>
      </c>
      <c r="E19" s="17">
        <f t="shared" si="1"/>
        <v>0</v>
      </c>
      <c r="F19" s="149"/>
      <c r="G19" s="148"/>
      <c r="H19" s="148"/>
      <c r="I19" s="148"/>
      <c r="J19" s="148"/>
      <c r="K19" s="148"/>
      <c r="L19" s="196"/>
      <c r="M19" s="196"/>
      <c r="N19" s="193">
        <v>94.6</v>
      </c>
      <c r="O19" s="193">
        <v>4200</v>
      </c>
      <c r="P19" s="506"/>
    </row>
    <row r="20" spans="1:16" x14ac:dyDescent="0.2">
      <c r="A20" s="204"/>
      <c r="B20" s="73" t="s">
        <v>58</v>
      </c>
      <c r="C20" s="37">
        <f>IF(B15="",0,C8)</f>
        <v>40</v>
      </c>
      <c r="D20" s="309">
        <v>155.69999999999999</v>
      </c>
      <c r="E20" s="17">
        <f t="shared" si="1"/>
        <v>6228</v>
      </c>
      <c r="F20" s="149"/>
      <c r="G20" s="148"/>
      <c r="H20" s="148"/>
      <c r="I20" s="148"/>
      <c r="J20" s="148"/>
      <c r="K20" s="148"/>
      <c r="L20" s="196"/>
      <c r="M20" s="196"/>
      <c r="N20" s="220">
        <v>94.6</v>
      </c>
      <c r="O20" s="220">
        <f>O14</f>
        <v>2798.4</v>
      </c>
      <c r="P20" s="506"/>
    </row>
    <row r="21" spans="1:16" x14ac:dyDescent="0.2">
      <c r="A21" s="204"/>
      <c r="B21" s="72" t="s">
        <v>57</v>
      </c>
      <c r="C21" s="37">
        <f>IF(B15="",0,C9)</f>
        <v>0</v>
      </c>
      <c r="D21" s="40">
        <v>118.1</v>
      </c>
      <c r="E21" s="17">
        <f t="shared" si="1"/>
        <v>0</v>
      </c>
      <c r="F21" s="149"/>
      <c r="G21" s="148"/>
      <c r="H21" s="148"/>
      <c r="I21" s="148"/>
      <c r="J21" s="148"/>
      <c r="K21" s="148"/>
      <c r="L21" s="196"/>
      <c r="M21" s="196"/>
      <c r="N21" s="220">
        <v>80.7</v>
      </c>
      <c r="O21" s="220">
        <f>O14</f>
        <v>2798.4</v>
      </c>
      <c r="P21" s="506"/>
    </row>
    <row r="22" spans="1:16" x14ac:dyDescent="0.2">
      <c r="A22" s="204"/>
      <c r="B22" s="10" t="s">
        <v>12</v>
      </c>
      <c r="C22" s="37">
        <f>IF(B15="",0,C10)</f>
        <v>0</v>
      </c>
      <c r="D22" s="309">
        <v>22.5</v>
      </c>
      <c r="E22" s="17">
        <f t="shared" si="1"/>
        <v>0</v>
      </c>
      <c r="F22" s="149"/>
      <c r="G22" s="148"/>
      <c r="H22" s="148"/>
      <c r="I22" s="148"/>
      <c r="J22" s="148"/>
      <c r="K22" s="148"/>
      <c r="L22" s="196"/>
      <c r="M22" s="196"/>
      <c r="N22" s="220"/>
      <c r="O22" s="220"/>
      <c r="P22" s="222"/>
    </row>
    <row r="23" spans="1:16" x14ac:dyDescent="0.2">
      <c r="A23" s="204"/>
      <c r="B23" s="10" t="s">
        <v>13</v>
      </c>
      <c r="C23" s="37">
        <f>IF(B15="",0,C11)</f>
        <v>20</v>
      </c>
      <c r="D23" s="309">
        <v>178.7</v>
      </c>
      <c r="E23" s="17">
        <f t="shared" si="1"/>
        <v>3574</v>
      </c>
      <c r="F23" s="149"/>
      <c r="G23" s="148"/>
      <c r="H23" s="148"/>
      <c r="I23" s="148"/>
      <c r="J23" s="148"/>
      <c r="K23" s="148"/>
      <c r="L23" s="196"/>
      <c r="M23" s="196" t="s">
        <v>111</v>
      </c>
      <c r="N23" s="220">
        <f>D27</f>
        <v>87.045353572750827</v>
      </c>
      <c r="O23" s="193">
        <f>C27</f>
        <v>3781.4</v>
      </c>
      <c r="P23" s="222"/>
    </row>
    <row r="24" spans="1:16" x14ac:dyDescent="0.2">
      <c r="A24" s="204"/>
      <c r="B24" s="93" t="s">
        <v>16</v>
      </c>
      <c r="C24" s="94">
        <f>IF(B15="",0,SUM(C17:C23))</f>
        <v>3238.4</v>
      </c>
      <c r="D24" s="101">
        <f>IF(C24=0,0,E24/C24)</f>
        <v>85.946300642292485</v>
      </c>
      <c r="E24" s="96">
        <f>IF(B15="",0,SUM(E17:E23))</f>
        <v>278328.5</v>
      </c>
      <c r="F24" s="149"/>
      <c r="G24" s="148"/>
      <c r="H24" s="148"/>
      <c r="I24" s="148"/>
      <c r="J24" s="148"/>
      <c r="K24" s="148"/>
      <c r="L24" s="196"/>
      <c r="M24" s="196" t="s">
        <v>110</v>
      </c>
      <c r="N24" s="193">
        <f>D29</f>
        <v>86.830529305730039</v>
      </c>
      <c r="O24" s="193">
        <f>C29</f>
        <v>3661.4</v>
      </c>
      <c r="P24" s="222"/>
    </row>
    <row r="25" spans="1:16" x14ac:dyDescent="0.2">
      <c r="A25" s="204"/>
      <c r="B25" s="106" t="s">
        <v>80</v>
      </c>
      <c r="C25" s="105">
        <f>IF(B15="",0,IF((L5+L6)=0,((G5+G6)*6),((L5+L6)*6)))</f>
        <v>558</v>
      </c>
      <c r="D25" s="310">
        <v>93.6</v>
      </c>
      <c r="E25" s="117">
        <f>IF(C25=0,0,C25*D25)</f>
        <v>52228.799999999996</v>
      </c>
      <c r="F25" s="149"/>
      <c r="G25" s="148"/>
      <c r="H25" s="148"/>
      <c r="I25" s="148"/>
      <c r="J25" s="148"/>
      <c r="K25" s="148"/>
      <c r="L25" s="196"/>
      <c r="M25" s="196" t="s">
        <v>109</v>
      </c>
      <c r="N25" s="193">
        <f>D24</f>
        <v>85.946300642292485</v>
      </c>
      <c r="O25" s="193">
        <f>C24</f>
        <v>3238.4</v>
      </c>
      <c r="P25" s="222"/>
    </row>
    <row r="26" spans="1:16" x14ac:dyDescent="0.2">
      <c r="A26" s="204"/>
      <c r="B26" s="72" t="s">
        <v>28</v>
      </c>
      <c r="C26" s="349">
        <v>15</v>
      </c>
      <c r="D26" s="40">
        <v>93.6</v>
      </c>
      <c r="E26" s="17">
        <f>IF(C26=0,0,C26*D26)*-1</f>
        <v>-1404</v>
      </c>
      <c r="F26" s="149"/>
      <c r="G26" s="148"/>
      <c r="H26" s="148"/>
      <c r="I26" s="148"/>
      <c r="J26" s="148"/>
      <c r="K26" s="148"/>
      <c r="L26" s="196"/>
      <c r="M26" s="196"/>
      <c r="N26" s="193">
        <f>D17</f>
        <v>84.346948256146362</v>
      </c>
      <c r="O26" s="193">
        <f>C17</f>
        <v>2798.4</v>
      </c>
      <c r="P26" s="222"/>
    </row>
    <row r="27" spans="1:16" x14ac:dyDescent="0.2">
      <c r="A27" s="204"/>
      <c r="B27" s="118" t="s">
        <v>4</v>
      </c>
      <c r="C27" s="108">
        <f>IF(B15="",0,(C24+C25-C26))</f>
        <v>3781.4</v>
      </c>
      <c r="D27" s="348">
        <f>IF(C27=0,0,E27/C27)</f>
        <v>87.045353572750827</v>
      </c>
      <c r="E27" s="119">
        <f>IF(B15="",0,(E24+E25+E26))</f>
        <v>329153.3</v>
      </c>
      <c r="F27" s="149"/>
      <c r="G27" s="148"/>
      <c r="H27" s="148"/>
      <c r="I27" s="148"/>
      <c r="J27" s="148"/>
      <c r="K27" s="148"/>
      <c r="L27" s="196"/>
      <c r="M27" s="196"/>
      <c r="N27" s="193"/>
      <c r="O27" s="193"/>
      <c r="P27" s="222"/>
    </row>
    <row r="28" spans="1:16" x14ac:dyDescent="0.2">
      <c r="A28" s="204"/>
      <c r="B28" s="355" t="s">
        <v>14</v>
      </c>
      <c r="C28" s="353">
        <f>IF(C17=0,0,(G11*6)*-1)</f>
        <v>-120</v>
      </c>
      <c r="D28" s="354">
        <v>93.6</v>
      </c>
      <c r="E28" s="356">
        <f>IF(C28=0,0,C28*D28)</f>
        <v>-11232</v>
      </c>
      <c r="F28" s="149"/>
      <c r="G28" s="148"/>
      <c r="H28" s="148"/>
      <c r="I28" s="148"/>
      <c r="J28" s="148"/>
      <c r="K28" s="148"/>
      <c r="L28" s="196"/>
      <c r="M28" s="196"/>
      <c r="N28" s="193">
        <f>N23</f>
        <v>87.045353572750827</v>
      </c>
      <c r="O28" s="193">
        <f>O23</f>
        <v>3781.4</v>
      </c>
      <c r="P28" s="222"/>
    </row>
    <row r="29" spans="1:16" x14ac:dyDescent="0.2">
      <c r="A29" s="204"/>
      <c r="B29" s="118" t="s">
        <v>5</v>
      </c>
      <c r="C29" s="108">
        <f>IF(C27=0,0,(C27+C28))</f>
        <v>3661.4</v>
      </c>
      <c r="D29" s="348">
        <f>IF(C29=0,0,E29/C29)</f>
        <v>86.830529305730039</v>
      </c>
      <c r="E29" s="119">
        <f>IF(E27="",0,E27+E28)</f>
        <v>317921.3</v>
      </c>
      <c r="F29" s="196"/>
      <c r="G29" s="189"/>
      <c r="H29" s="189"/>
      <c r="I29" s="189"/>
      <c r="J29" s="189"/>
      <c r="K29" s="189"/>
      <c r="L29" s="196"/>
      <c r="M29" s="196"/>
      <c r="N29" s="193"/>
      <c r="O29" s="193"/>
      <c r="P29" s="222"/>
    </row>
    <row r="30" spans="1:16" ht="13.5" thickBot="1" x14ac:dyDescent="0.25">
      <c r="A30" s="204"/>
      <c r="B30" s="668" t="s">
        <v>66</v>
      </c>
      <c r="C30" s="669"/>
      <c r="D30" s="352">
        <f>IF(4000-C24&gt;588,93,(4000-C24)/6)</f>
        <v>93</v>
      </c>
      <c r="E30" s="351" t="s">
        <v>64</v>
      </c>
      <c r="F30" s="196"/>
      <c r="G30" s="151"/>
      <c r="H30" s="172"/>
      <c r="I30" s="308" t="s">
        <v>79</v>
      </c>
      <c r="J30" s="180"/>
      <c r="K30" s="164"/>
      <c r="L30" s="526"/>
      <c r="M30" s="196"/>
      <c r="N30" s="168"/>
      <c r="O30" s="168"/>
      <c r="P30" s="222"/>
    </row>
    <row r="31" spans="1:16" ht="13.5" thickBot="1" x14ac:dyDescent="0.25">
      <c r="A31" s="204"/>
      <c r="B31" s="672" t="s">
        <v>67</v>
      </c>
      <c r="C31" s="673"/>
      <c r="D31" s="123">
        <f>IF(C27&gt;4000,(4000-C27),(4000-C17)-SUM(C18:C23))</f>
        <v>761.59999999999991</v>
      </c>
      <c r="E31" s="124" t="s">
        <v>63</v>
      </c>
      <c r="F31" s="196"/>
      <c r="G31" s="153"/>
      <c r="H31" s="153"/>
      <c r="I31" s="296">
        <v>25</v>
      </c>
      <c r="J31" s="153"/>
      <c r="K31" s="168"/>
      <c r="L31" s="521"/>
      <c r="M31" s="196"/>
      <c r="N31" s="331"/>
      <c r="O31" s="196"/>
      <c r="P31" s="222"/>
    </row>
    <row r="32" spans="1:16" x14ac:dyDescent="0.2">
      <c r="A32" s="204"/>
      <c r="B32" s="674" t="s">
        <v>68</v>
      </c>
      <c r="C32" s="675"/>
      <c r="D32" s="123">
        <f>IF(C29&gt;4000,93+((4000-C29)/6),0)</f>
        <v>0</v>
      </c>
      <c r="E32" s="124" t="s">
        <v>64</v>
      </c>
      <c r="F32" s="196"/>
      <c r="G32" s="299" t="s">
        <v>71</v>
      </c>
      <c r="H32" s="141">
        <v>210</v>
      </c>
      <c r="I32" s="295" t="s">
        <v>74</v>
      </c>
      <c r="J32" s="141"/>
      <c r="K32" s="187"/>
      <c r="L32" s="527"/>
      <c r="M32" s="196"/>
      <c r="N32" s="168"/>
      <c r="O32" s="196"/>
      <c r="P32" s="222"/>
    </row>
    <row r="33" spans="1:16" ht="13.5" thickBot="1" x14ac:dyDescent="0.25">
      <c r="A33" s="204"/>
      <c r="B33" s="676"/>
      <c r="C33" s="677"/>
      <c r="D33" s="125">
        <f>IF(4200&gt;C29,4000-C29,"")</f>
        <v>338.59999999999991</v>
      </c>
      <c r="E33" s="126" t="s">
        <v>63</v>
      </c>
      <c r="F33" s="196"/>
      <c r="G33" s="299" t="s">
        <v>70</v>
      </c>
      <c r="H33" s="141">
        <v>10</v>
      </c>
      <c r="I33" s="295" t="s">
        <v>76</v>
      </c>
      <c r="J33" s="141">
        <v>15</v>
      </c>
      <c r="K33" s="302"/>
      <c r="L33" s="528"/>
      <c r="M33" s="196"/>
      <c r="N33" s="193"/>
      <c r="O33" s="196"/>
      <c r="P33" s="222"/>
    </row>
    <row r="34" spans="1:16" x14ac:dyDescent="0.2">
      <c r="A34" s="204"/>
      <c r="B34" s="240"/>
      <c r="C34" s="240"/>
      <c r="D34" s="241"/>
      <c r="E34" s="176"/>
      <c r="F34" s="196"/>
      <c r="G34" s="135"/>
      <c r="H34" s="153"/>
      <c r="I34" s="153"/>
      <c r="J34" s="153"/>
      <c r="K34" s="153"/>
      <c r="L34" s="196"/>
      <c r="M34" s="196"/>
      <c r="N34" s="220"/>
      <c r="O34" s="196"/>
      <c r="P34" s="222"/>
    </row>
    <row r="35" spans="1:16" x14ac:dyDescent="0.2">
      <c r="A35" s="204"/>
      <c r="B35" s="567" t="s">
        <v>126</v>
      </c>
      <c r="C35" s="568">
        <v>146</v>
      </c>
      <c r="D35" s="139"/>
      <c r="E35" s="142"/>
      <c r="F35" s="139"/>
      <c r="G35" s="613" t="s">
        <v>78</v>
      </c>
      <c r="H35" s="614"/>
      <c r="I35" s="194">
        <f>IF(H33="","",H33*ABS(SIN(RADIANS(H32-(I31*10)))))</f>
        <v>6.4278760968653925</v>
      </c>
      <c r="J35" s="137" t="s">
        <v>75</v>
      </c>
      <c r="K35" s="194">
        <f>IF(J33="","",J33*ABS(SIN(RADIANS(H32-(I31*10)))))</f>
        <v>9.6418141452980883</v>
      </c>
      <c r="L35" s="529"/>
      <c r="M35" s="521"/>
      <c r="N35" s="193">
        <f>IF(N33=0,0,N33*N34)</f>
        <v>0</v>
      </c>
      <c r="O35" s="168"/>
      <c r="P35" s="222"/>
    </row>
    <row r="36" spans="1:16" x14ac:dyDescent="0.2">
      <c r="A36" s="204"/>
      <c r="B36" s="567" t="s">
        <v>128</v>
      </c>
      <c r="C36" s="569">
        <f>C35*(SQRT(C27/O18))</f>
        <v>138.53340872631892</v>
      </c>
      <c r="D36" s="138"/>
      <c r="E36" s="139"/>
      <c r="F36" s="143"/>
      <c r="G36" s="613" t="s">
        <v>77</v>
      </c>
      <c r="H36" s="614"/>
      <c r="I36" s="194" t="str">
        <f>IF(J32="","",H33*ABS(SIN(RADIANS(H32-(I31*10)))))</f>
        <v/>
      </c>
      <c r="J36" s="195" t="s">
        <v>75</v>
      </c>
      <c r="K36" s="194" t="str">
        <f>IF(J32="","",IF(J33="",H33*ABS(SIN(RADIANS(J32-(I31*10)))),J33*ABS(SIN(RADIANS(J32-(I31*10))))))</f>
        <v/>
      </c>
      <c r="L36" s="530"/>
      <c r="M36" s="521"/>
      <c r="N36" s="205"/>
      <c r="O36" s="196"/>
      <c r="P36" s="222"/>
    </row>
    <row r="37" spans="1:16" ht="13.5" thickBot="1" x14ac:dyDescent="0.25">
      <c r="A37" s="207"/>
      <c r="B37" s="570" t="s">
        <v>127</v>
      </c>
      <c r="C37" s="571">
        <f>C35*(SQRT(C29/O18))</f>
        <v>136.31755852385547</v>
      </c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211"/>
      <c r="O37" s="211"/>
      <c r="P37" s="210"/>
    </row>
  </sheetData>
  <mergeCells count="18">
    <mergeCell ref="N9:O9"/>
    <mergeCell ref="N10:O10"/>
    <mergeCell ref="H13:I13"/>
    <mergeCell ref="E10:G10"/>
    <mergeCell ref="B2:O2"/>
    <mergeCell ref="E4:G4"/>
    <mergeCell ref="I4:L4"/>
    <mergeCell ref="I5:K5"/>
    <mergeCell ref="I6:K6"/>
    <mergeCell ref="G36:H36"/>
    <mergeCell ref="I8:L8"/>
    <mergeCell ref="E5:F5"/>
    <mergeCell ref="E6:F6"/>
    <mergeCell ref="B30:C30"/>
    <mergeCell ref="E11:F11"/>
    <mergeCell ref="B31:C31"/>
    <mergeCell ref="B32:C33"/>
    <mergeCell ref="G35:H35"/>
  </mergeCells>
  <dataValidations disablePrompts="1" count="1">
    <dataValidation type="list" allowBlank="1" showInputMessage="1" showErrorMessage="1" sqref="C4" xr:uid="{00000000-0002-0000-0900-000000000000}">
      <formula1>$I$9:$I$11</formula1>
    </dataValidation>
  </dataValidations>
  <pageMargins left="0.7" right="0.7" top="0.75" bottom="0.75" header="0.3" footer="0.3"/>
  <pageSetup scale="85" fitToHeight="0" orientation="landscape" r:id="rId1"/>
  <ignoredErrors>
    <ignoredError sqref="E24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  <pageSetUpPr fitToPage="1"/>
  </sheetPr>
  <dimension ref="A1:R41"/>
  <sheetViews>
    <sheetView zoomScale="90" zoomScaleNormal="90" workbookViewId="0">
      <selection activeCell="C12" sqref="C12"/>
    </sheetView>
  </sheetViews>
  <sheetFormatPr defaultRowHeight="12.75" x14ac:dyDescent="0.2"/>
  <cols>
    <col min="1" max="1" width="2.7109375" customWidth="1"/>
    <col min="2" max="2" width="21.5703125" customWidth="1"/>
    <col min="3" max="4" width="9.28515625" customWidth="1"/>
    <col min="5" max="5" width="10.140625" customWidth="1"/>
    <col min="7" max="7" width="14.85546875" customWidth="1"/>
    <col min="9" max="10" width="10" customWidth="1"/>
    <col min="12" max="12" width="9.85546875" customWidth="1"/>
    <col min="13" max="13" width="2.7109375" customWidth="1"/>
    <col min="14" max="14" width="9.85546875" customWidth="1"/>
    <col min="15" max="15" width="7.7109375" customWidth="1"/>
    <col min="16" max="16" width="2.7109375" customWidth="1"/>
  </cols>
  <sheetData>
    <row r="1" spans="1:18" ht="13.5" thickBot="1" x14ac:dyDescent="0.25">
      <c r="A1" s="399"/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</row>
    <row r="2" spans="1:18" ht="13.5" thickBot="1" x14ac:dyDescent="0.25">
      <c r="A2" s="402"/>
      <c r="B2" s="698" t="s">
        <v>42</v>
      </c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700"/>
      <c r="P2" s="403"/>
    </row>
    <row r="3" spans="1:18" ht="13.5" thickBot="1" x14ac:dyDescent="0.25">
      <c r="A3" s="402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533"/>
      <c r="O3" s="533"/>
      <c r="P3" s="534"/>
    </row>
    <row r="4" spans="1:18" ht="13.5" thickBot="1" x14ac:dyDescent="0.25">
      <c r="A4" s="402"/>
      <c r="B4" s="405" t="s">
        <v>33</v>
      </c>
      <c r="C4" s="581" t="s">
        <v>153</v>
      </c>
      <c r="D4" s="404"/>
      <c r="E4" s="701" t="s">
        <v>45</v>
      </c>
      <c r="F4" s="702"/>
      <c r="G4" s="703"/>
      <c r="H4" s="404"/>
      <c r="I4" s="704" t="s">
        <v>19</v>
      </c>
      <c r="J4" s="705"/>
      <c r="K4" s="705"/>
      <c r="L4" s="705"/>
      <c r="M4" s="706"/>
      <c r="N4" s="533"/>
      <c r="O4" s="535"/>
      <c r="P4" s="534"/>
    </row>
    <row r="5" spans="1:18" ht="13.5" thickBot="1" x14ac:dyDescent="0.25">
      <c r="A5" s="402"/>
      <c r="B5" s="404"/>
      <c r="C5" s="404"/>
      <c r="D5" s="404"/>
      <c r="E5" s="405" t="s">
        <v>30</v>
      </c>
      <c r="F5" s="408"/>
      <c r="G5" s="406">
        <v>47</v>
      </c>
      <c r="H5" s="404"/>
      <c r="I5" s="582" t="s">
        <v>140</v>
      </c>
      <c r="J5" s="410">
        <f>L5/K5</f>
        <v>139.41706967695038</v>
      </c>
      <c r="K5" s="411">
        <v>2338.65</v>
      </c>
      <c r="L5" s="545">
        <v>326047.73</v>
      </c>
      <c r="M5" s="546"/>
      <c r="N5" s="533"/>
      <c r="O5" s="535"/>
      <c r="P5" s="534"/>
    </row>
    <row r="6" spans="1:18" ht="13.5" thickBot="1" x14ac:dyDescent="0.25">
      <c r="A6" s="402"/>
      <c r="B6" s="404"/>
      <c r="C6" s="404"/>
      <c r="D6" s="404"/>
      <c r="E6" s="404"/>
      <c r="F6" s="412"/>
      <c r="G6" s="412"/>
      <c r="H6" s="404"/>
      <c r="I6" s="583" t="s">
        <v>141</v>
      </c>
      <c r="J6" s="410">
        <v>140.97</v>
      </c>
      <c r="K6" s="415">
        <v>2384.15</v>
      </c>
      <c r="L6" s="545">
        <v>336096.74</v>
      </c>
      <c r="M6" s="546"/>
      <c r="N6" s="533"/>
      <c r="O6" s="533"/>
      <c r="P6" s="534"/>
    </row>
    <row r="7" spans="1:18" ht="13.5" thickBot="1" x14ac:dyDescent="0.25">
      <c r="A7" s="402"/>
      <c r="B7" s="404"/>
      <c r="C7" s="404"/>
      <c r="D7" s="404"/>
      <c r="E7" s="707" t="s">
        <v>40</v>
      </c>
      <c r="F7" s="708"/>
      <c r="G7" s="709"/>
      <c r="H7" s="404"/>
      <c r="I7" s="413" t="s">
        <v>119</v>
      </c>
      <c r="J7" s="410">
        <v>139.62</v>
      </c>
      <c r="K7" s="415">
        <v>2350</v>
      </c>
      <c r="L7" s="545">
        <v>328099.3</v>
      </c>
      <c r="M7" s="546"/>
      <c r="N7" s="533"/>
      <c r="O7" s="533"/>
      <c r="P7" s="534"/>
    </row>
    <row r="8" spans="1:18" ht="13.5" thickBot="1" x14ac:dyDescent="0.25">
      <c r="A8" s="402"/>
      <c r="B8" s="405" t="s">
        <v>87</v>
      </c>
      <c r="C8" s="416">
        <v>160</v>
      </c>
      <c r="D8" s="404"/>
      <c r="E8" s="710" t="str">
        <f>"Total Fuel (gal)    ="</f>
        <v>Total Fuel (gal)    =</v>
      </c>
      <c r="F8" s="711"/>
      <c r="G8" s="417"/>
      <c r="H8" s="404"/>
      <c r="I8" s="413" t="s">
        <v>125</v>
      </c>
      <c r="J8" s="410">
        <v>139.29</v>
      </c>
      <c r="K8" s="415">
        <v>2312.1</v>
      </c>
      <c r="L8" s="545">
        <v>322042</v>
      </c>
      <c r="M8" s="546"/>
      <c r="N8" s="533"/>
      <c r="O8" s="533"/>
      <c r="P8" s="534"/>
    </row>
    <row r="9" spans="1:18" ht="13.5" thickBot="1" x14ac:dyDescent="0.25">
      <c r="A9" s="402"/>
      <c r="B9" s="405" t="s">
        <v>89</v>
      </c>
      <c r="C9" s="418">
        <v>150</v>
      </c>
      <c r="D9" s="404"/>
      <c r="E9" s="404"/>
      <c r="F9" s="404"/>
      <c r="G9" s="404"/>
      <c r="H9" s="404"/>
      <c r="I9" s="413" t="s">
        <v>118</v>
      </c>
      <c r="J9" s="410">
        <v>138.94999999999999</v>
      </c>
      <c r="K9" s="415">
        <v>2373.5</v>
      </c>
      <c r="L9" s="545">
        <v>329800.3</v>
      </c>
      <c r="M9" s="546"/>
      <c r="N9" s="533"/>
      <c r="O9" s="533"/>
      <c r="P9" s="534"/>
    </row>
    <row r="10" spans="1:18" ht="13.5" thickBot="1" x14ac:dyDescent="0.25">
      <c r="A10" s="402"/>
      <c r="B10" s="74" t="s">
        <v>90</v>
      </c>
      <c r="C10" s="418">
        <v>180</v>
      </c>
      <c r="D10" s="404"/>
      <c r="E10" s="712" t="s">
        <v>107</v>
      </c>
      <c r="F10" s="713"/>
      <c r="G10" s="714"/>
      <c r="H10" s="404"/>
      <c r="I10" s="605" t="s">
        <v>153</v>
      </c>
      <c r="J10" s="606">
        <v>140.08000000000001</v>
      </c>
      <c r="K10" s="607">
        <v>2350.9899999999998</v>
      </c>
      <c r="L10" s="608">
        <v>329340.7</v>
      </c>
      <c r="M10" s="609"/>
      <c r="N10" s="533"/>
      <c r="O10" s="533"/>
      <c r="P10" s="534"/>
    </row>
    <row r="11" spans="1:18" ht="13.5" thickBot="1" x14ac:dyDescent="0.25">
      <c r="A11" s="402"/>
      <c r="B11" s="364" t="s">
        <v>91</v>
      </c>
      <c r="C11" s="422">
        <v>150</v>
      </c>
      <c r="D11" s="404"/>
      <c r="E11" s="423" t="str">
        <f>"Total Fuel (gal)       ="</f>
        <v>Total Fuel (gal)       =</v>
      </c>
      <c r="F11" s="424"/>
      <c r="G11" s="425">
        <v>20</v>
      </c>
      <c r="H11" s="404"/>
      <c r="I11" s="419" t="s">
        <v>117</v>
      </c>
      <c r="J11" s="421">
        <f t="shared" ref="J11" si="0">L11/K11</f>
        <v>139.8272863464949</v>
      </c>
      <c r="K11" s="421">
        <v>2322.92</v>
      </c>
      <c r="L11" s="547">
        <v>324807.59999999998</v>
      </c>
      <c r="M11" s="548"/>
      <c r="N11" s="533"/>
      <c r="O11" s="533"/>
      <c r="P11" s="534"/>
    </row>
    <row r="12" spans="1:18" ht="13.5" thickBot="1" x14ac:dyDescent="0.25">
      <c r="A12" s="402"/>
      <c r="B12" s="398" t="s">
        <v>102</v>
      </c>
      <c r="C12" s="417">
        <v>10</v>
      </c>
      <c r="D12" s="404"/>
      <c r="E12" s="427" t="s">
        <v>27</v>
      </c>
      <c r="F12" s="428"/>
      <c r="G12" s="429">
        <v>2</v>
      </c>
      <c r="H12" s="404"/>
      <c r="I12" s="697"/>
      <c r="J12" s="697"/>
      <c r="K12" s="697"/>
      <c r="L12" s="697"/>
      <c r="M12" s="426"/>
      <c r="N12" s="533"/>
      <c r="O12" s="533"/>
      <c r="P12" s="534"/>
    </row>
    <row r="13" spans="1:18" x14ac:dyDescent="0.2">
      <c r="A13" s="402"/>
      <c r="B13" s="430"/>
      <c r="C13" s="431"/>
      <c r="D13" s="404"/>
      <c r="E13" s="404"/>
      <c r="F13" s="404"/>
      <c r="G13" s="412"/>
      <c r="H13" s="404"/>
      <c r="I13" s="404"/>
      <c r="J13" s="404"/>
      <c r="K13" s="404"/>
      <c r="L13" s="404"/>
      <c r="M13" s="426"/>
      <c r="N13" s="533"/>
      <c r="O13" s="533"/>
      <c r="P13" s="534"/>
    </row>
    <row r="14" spans="1:18" ht="13.5" thickBot="1" x14ac:dyDescent="0.25">
      <c r="A14" s="402"/>
      <c r="B14" s="404"/>
      <c r="C14" s="404"/>
      <c r="D14" s="404"/>
      <c r="E14" s="404"/>
      <c r="F14" s="432"/>
      <c r="G14" s="432"/>
      <c r="H14" s="432"/>
      <c r="I14" s="404"/>
      <c r="J14" s="404"/>
      <c r="K14" s="404"/>
      <c r="L14" s="404"/>
      <c r="M14" s="426"/>
      <c r="N14" s="693"/>
      <c r="O14" s="693"/>
      <c r="P14" s="534"/>
    </row>
    <row r="15" spans="1:18" ht="13.5" thickBot="1" x14ac:dyDescent="0.25">
      <c r="A15" s="402"/>
      <c r="B15" s="433" t="s">
        <v>2</v>
      </c>
      <c r="C15" s="434" t="s">
        <v>0</v>
      </c>
      <c r="D15" s="434" t="s">
        <v>3</v>
      </c>
      <c r="E15" s="435" t="s">
        <v>1</v>
      </c>
      <c r="F15" s="412"/>
      <c r="G15" s="532"/>
      <c r="H15" s="430"/>
      <c r="I15" s="691" t="s">
        <v>115</v>
      </c>
      <c r="J15" s="692"/>
      <c r="K15" s="432"/>
      <c r="L15" s="404"/>
      <c r="M15" s="426"/>
      <c r="N15" s="694"/>
      <c r="O15" s="694"/>
      <c r="P15" s="534"/>
    </row>
    <row r="16" spans="1:18" x14ac:dyDescent="0.2">
      <c r="A16" s="402"/>
      <c r="B16" s="436" t="str">
        <f>C4</f>
        <v>5060V</v>
      </c>
      <c r="C16" s="437"/>
      <c r="D16" s="438"/>
      <c r="E16" s="439"/>
      <c r="F16" s="412"/>
      <c r="G16" s="404"/>
      <c r="H16" s="404"/>
      <c r="I16" s="430"/>
      <c r="J16" s="430"/>
      <c r="K16" s="532"/>
      <c r="L16" s="404"/>
      <c r="M16" s="426"/>
      <c r="N16" s="539">
        <v>148.18</v>
      </c>
      <c r="O16" s="539">
        <v>2200</v>
      </c>
      <c r="P16" s="534"/>
      <c r="R16" s="538"/>
    </row>
    <row r="17" spans="1:18" x14ac:dyDescent="0.2">
      <c r="A17" s="402"/>
      <c r="B17" s="72"/>
      <c r="C17" s="440"/>
      <c r="D17" s="441"/>
      <c r="E17" s="442"/>
      <c r="F17" s="412"/>
      <c r="G17" s="404"/>
      <c r="H17" s="404"/>
      <c r="I17" s="404"/>
      <c r="J17" s="404"/>
      <c r="K17" s="412"/>
      <c r="L17" s="404"/>
      <c r="M17" s="426"/>
      <c r="N17" s="539">
        <v>138.18</v>
      </c>
      <c r="O17" s="539">
        <v>2200</v>
      </c>
      <c r="P17" s="534"/>
      <c r="R17" s="538"/>
    </row>
    <row r="18" spans="1:18" x14ac:dyDescent="0.2">
      <c r="A18" s="402"/>
      <c r="B18" s="72" t="s">
        <v>31</v>
      </c>
      <c r="C18" s="440">
        <f>IF(B16=I5,K5,IF(B16=I6,K6,IF(B16=I7,K7,IF(B16=I8,K8,IF(B16=I9,K9,IF(B16=I10,K10,IF(B16=I11,K11," ")))))))</f>
        <v>2350.9899999999998</v>
      </c>
      <c r="D18" s="443">
        <f>IF(C18=0,0,(E18/C18))</f>
        <v>140.08596378546912</v>
      </c>
      <c r="E18" s="444">
        <f>IF(B16=I5,L5,IF(B16=I6,L6,IF(B16=I7,L7,IF(B16=I8,L8,IF(B16=I9,L9,IF(B16=I10,L10,IF(B16=I11,L11," ")))))))</f>
        <v>329340.7</v>
      </c>
      <c r="F18" s="412"/>
      <c r="G18" s="404"/>
      <c r="H18" s="404"/>
      <c r="I18" s="404"/>
      <c r="J18" s="404"/>
      <c r="K18" s="404"/>
      <c r="L18" s="404"/>
      <c r="M18" s="426"/>
      <c r="N18" s="539">
        <v>142.06</v>
      </c>
      <c r="O18" s="539">
        <v>3400</v>
      </c>
      <c r="P18" s="534"/>
      <c r="R18" s="538"/>
    </row>
    <row r="19" spans="1:18" x14ac:dyDescent="0.2">
      <c r="A19" s="402"/>
      <c r="B19" s="72" t="s">
        <v>112</v>
      </c>
      <c r="C19" s="445">
        <f>SUM(C8,C9)</f>
        <v>310</v>
      </c>
      <c r="D19" s="443">
        <v>143.5</v>
      </c>
      <c r="E19" s="444">
        <f>(C19*D19)</f>
        <v>44485</v>
      </c>
      <c r="F19" s="404"/>
      <c r="G19" s="404"/>
      <c r="H19" s="404"/>
      <c r="I19" s="404"/>
      <c r="J19" s="404"/>
      <c r="K19" s="404"/>
      <c r="L19" s="404"/>
      <c r="M19" s="426"/>
      <c r="N19" s="539">
        <v>148.24</v>
      </c>
      <c r="O19" s="539">
        <v>3400</v>
      </c>
      <c r="P19" s="549"/>
      <c r="R19" s="538"/>
    </row>
    <row r="20" spans="1:18" x14ac:dyDescent="0.2">
      <c r="A20" s="402"/>
      <c r="B20" s="72" t="s">
        <v>113</v>
      </c>
      <c r="C20" s="445">
        <f>SUM(C10,C11)</f>
        <v>330</v>
      </c>
      <c r="D20" s="443">
        <v>180</v>
      </c>
      <c r="E20" s="444">
        <f>(C20*D20)</f>
        <v>59400</v>
      </c>
      <c r="F20" s="404"/>
      <c r="G20" s="404"/>
      <c r="H20" s="407"/>
      <c r="I20" s="404"/>
      <c r="J20" s="404"/>
      <c r="K20" s="404"/>
      <c r="L20" s="404"/>
      <c r="M20" s="426"/>
      <c r="N20" s="539">
        <v>148.18</v>
      </c>
      <c r="O20" s="539">
        <v>2200</v>
      </c>
      <c r="P20" s="549"/>
    </row>
    <row r="21" spans="1:18" x14ac:dyDescent="0.2">
      <c r="A21" s="402"/>
      <c r="B21" s="72" t="s">
        <v>116</v>
      </c>
      <c r="C21" s="445">
        <v>0</v>
      </c>
      <c r="D21" s="443">
        <v>180</v>
      </c>
      <c r="E21" s="444">
        <f>(C21*D21)</f>
        <v>0</v>
      </c>
      <c r="F21" s="404"/>
      <c r="G21" s="404"/>
      <c r="H21" s="404"/>
      <c r="I21" s="407"/>
      <c r="J21" s="407"/>
      <c r="K21" s="407"/>
      <c r="L21" s="404"/>
      <c r="M21" s="426"/>
      <c r="N21" s="539">
        <v>138.18</v>
      </c>
      <c r="O21" s="539">
        <v>2200</v>
      </c>
      <c r="P21" s="549"/>
    </row>
    <row r="22" spans="1:18" x14ac:dyDescent="0.2">
      <c r="A22" s="402"/>
      <c r="B22" s="72" t="s">
        <v>13</v>
      </c>
      <c r="C22" s="445">
        <f>C12</f>
        <v>10</v>
      </c>
      <c r="D22" s="443">
        <v>208</v>
      </c>
      <c r="E22" s="444">
        <f>(C22*D22)</f>
        <v>2080</v>
      </c>
      <c r="F22" s="404"/>
      <c r="G22" s="404"/>
      <c r="H22" s="412"/>
      <c r="I22" s="404"/>
      <c r="J22" s="404"/>
      <c r="K22" s="404"/>
      <c r="L22" s="404"/>
      <c r="M22" s="426"/>
      <c r="N22" s="539"/>
      <c r="O22" s="539"/>
      <c r="P22" s="549"/>
    </row>
    <row r="23" spans="1:18" x14ac:dyDescent="0.2">
      <c r="A23" s="402"/>
      <c r="B23" s="72"/>
      <c r="C23" s="445"/>
      <c r="D23" s="443"/>
      <c r="E23" s="444"/>
      <c r="F23" s="404"/>
      <c r="G23" s="404"/>
      <c r="H23" s="412"/>
      <c r="I23" s="412"/>
      <c r="J23" s="412"/>
      <c r="K23" s="412"/>
      <c r="L23" s="404"/>
      <c r="M23" s="426"/>
      <c r="N23" s="539">
        <v>141.54</v>
      </c>
      <c r="O23" s="539">
        <v>3250</v>
      </c>
      <c r="P23" s="549"/>
      <c r="R23" s="538"/>
    </row>
    <row r="24" spans="1:18" x14ac:dyDescent="0.2">
      <c r="A24" s="402"/>
      <c r="B24" s="446" t="s">
        <v>16</v>
      </c>
      <c r="C24" s="447">
        <f>IF(B16=0,0,SUM(C18:C23))</f>
        <v>3000.99</v>
      </c>
      <c r="D24" s="448">
        <f>E24/C24</f>
        <v>145.05403216938413</v>
      </c>
      <c r="E24" s="449">
        <f>IF(B16="See Other Chart",0,SUM(E18:E23))</f>
        <v>435305.7</v>
      </c>
      <c r="F24" s="404"/>
      <c r="G24" s="404"/>
      <c r="H24" s="404"/>
      <c r="I24" s="412"/>
      <c r="J24" s="412"/>
      <c r="K24" s="412"/>
      <c r="L24" s="404"/>
      <c r="M24" s="426"/>
      <c r="N24" s="539">
        <v>144</v>
      </c>
      <c r="O24" s="539">
        <v>3400</v>
      </c>
      <c r="P24" s="549"/>
      <c r="R24" s="538"/>
    </row>
    <row r="25" spans="1:18" x14ac:dyDescent="0.2">
      <c r="A25" s="402"/>
      <c r="B25" s="72" t="s">
        <v>32</v>
      </c>
      <c r="C25" s="450">
        <f>IF(C18=0,0,IF(G8="",G5*6,G8*6))</f>
        <v>282</v>
      </c>
      <c r="D25" s="451">
        <v>154.9</v>
      </c>
      <c r="E25" s="444">
        <f>C25*D25</f>
        <v>43681.8</v>
      </c>
      <c r="F25" s="404"/>
      <c r="G25" s="404"/>
      <c r="H25" s="404"/>
      <c r="I25" s="432"/>
      <c r="J25" s="432"/>
      <c r="K25" s="432"/>
      <c r="L25" s="404"/>
      <c r="M25" s="426"/>
      <c r="N25" s="539">
        <v>142.1</v>
      </c>
      <c r="O25" s="539">
        <v>3400</v>
      </c>
      <c r="P25" s="549"/>
      <c r="R25" s="538"/>
    </row>
    <row r="26" spans="1:18" x14ac:dyDescent="0.2">
      <c r="A26" s="402"/>
      <c r="B26" s="72"/>
      <c r="C26" s="452"/>
      <c r="D26" s="453"/>
      <c r="E26" s="454"/>
      <c r="F26" s="404"/>
      <c r="G26" s="404"/>
      <c r="H26" s="455"/>
      <c r="I26" s="404"/>
      <c r="J26" s="404"/>
      <c r="K26" s="404"/>
      <c r="L26" s="404"/>
      <c r="M26" s="426"/>
      <c r="N26" s="539">
        <v>141.54</v>
      </c>
      <c r="O26" s="539">
        <v>3250</v>
      </c>
      <c r="P26" s="549"/>
      <c r="R26" s="538"/>
    </row>
    <row r="27" spans="1:18" x14ac:dyDescent="0.2">
      <c r="A27" s="402"/>
      <c r="B27" s="72" t="s">
        <v>28</v>
      </c>
      <c r="C27" s="458">
        <f>IF(B16="",0,(G12*6)*-1)</f>
        <v>-12</v>
      </c>
      <c r="D27" s="451">
        <v>154.9</v>
      </c>
      <c r="E27" s="444">
        <f>IF(C27=0,0,C27*D27)</f>
        <v>-1858.8000000000002</v>
      </c>
      <c r="F27" s="404"/>
      <c r="G27" s="404"/>
      <c r="H27" s="455"/>
      <c r="I27" s="456"/>
      <c r="J27" s="456"/>
      <c r="K27" s="457"/>
      <c r="L27" s="404"/>
      <c r="M27" s="426"/>
      <c r="N27" s="540"/>
      <c r="O27" s="540"/>
      <c r="P27" s="549"/>
    </row>
    <row r="28" spans="1:18" x14ac:dyDescent="0.2">
      <c r="A28" s="402"/>
      <c r="B28" s="446" t="s">
        <v>4</v>
      </c>
      <c r="C28" s="447">
        <f>IF(B16="",0,SUM(C24:C25)+C27)</f>
        <v>3270.99</v>
      </c>
      <c r="D28" s="448">
        <f>IF(C28=0,0,E28/C28)</f>
        <v>145.86675593627618</v>
      </c>
      <c r="E28" s="449">
        <f>IF(B16="",0,SUM(E24:E27))</f>
        <v>477128.7</v>
      </c>
      <c r="F28" s="404"/>
      <c r="G28" s="404"/>
      <c r="H28" s="455"/>
      <c r="I28" s="456"/>
      <c r="J28" s="456"/>
      <c r="K28" s="457"/>
      <c r="L28" s="404"/>
      <c r="M28" s="426"/>
      <c r="N28" s="539">
        <f>D28</f>
        <v>145.86675593627618</v>
      </c>
      <c r="O28" s="539">
        <f>C28</f>
        <v>3270.99</v>
      </c>
      <c r="P28" s="549"/>
      <c r="R28" s="538"/>
    </row>
    <row r="29" spans="1:18" x14ac:dyDescent="0.2">
      <c r="A29" s="402"/>
      <c r="B29" s="72"/>
      <c r="C29" s="459"/>
      <c r="D29" s="451"/>
      <c r="E29" s="454"/>
      <c r="F29" s="404"/>
      <c r="G29" s="404"/>
      <c r="H29" s="455"/>
      <c r="I29" s="456"/>
      <c r="J29" s="456"/>
      <c r="K29" s="457"/>
      <c r="L29" s="404"/>
      <c r="M29" s="426"/>
      <c r="N29" s="539">
        <f>D31</f>
        <v>145.52274047204213</v>
      </c>
      <c r="O29" s="539">
        <f>C31</f>
        <v>3150.99</v>
      </c>
      <c r="P29" s="549"/>
      <c r="R29" s="538"/>
    </row>
    <row r="30" spans="1:18" x14ac:dyDescent="0.2">
      <c r="A30" s="402"/>
      <c r="B30" s="72" t="s">
        <v>14</v>
      </c>
      <c r="C30" s="459">
        <f>IF(B16="",0,(G11*6)*-1)</f>
        <v>-120</v>
      </c>
      <c r="D30" s="451">
        <v>154.9</v>
      </c>
      <c r="E30" s="444">
        <f>IF(C30=0,0,C30*D30)</f>
        <v>-18588</v>
      </c>
      <c r="F30" s="404"/>
      <c r="G30" s="404"/>
      <c r="H30" s="455"/>
      <c r="I30" s="456"/>
      <c r="J30" s="456"/>
      <c r="K30" s="457"/>
      <c r="L30" s="404"/>
      <c r="M30" s="426"/>
      <c r="N30" s="539">
        <f>D24</f>
        <v>145.05403216938413</v>
      </c>
      <c r="O30" s="539">
        <f>C24</f>
        <v>3000.99</v>
      </c>
      <c r="P30" s="549"/>
      <c r="R30" s="538"/>
    </row>
    <row r="31" spans="1:18" ht="13.5" thickBot="1" x14ac:dyDescent="0.25">
      <c r="A31" s="402"/>
      <c r="B31" s="446" t="s">
        <v>5</v>
      </c>
      <c r="C31" s="447">
        <f>IF(B16="",0,C28+C30)</f>
        <v>3150.99</v>
      </c>
      <c r="D31" s="448">
        <f>IF(C31=0,0,E31/C31)</f>
        <v>145.52274047204213</v>
      </c>
      <c r="E31" s="449">
        <f>IF(B16="",0,E28+E30)</f>
        <v>458540.7</v>
      </c>
      <c r="F31" s="404"/>
      <c r="G31" s="404"/>
      <c r="H31" s="455"/>
      <c r="I31" s="460"/>
      <c r="J31" s="460"/>
      <c r="K31" s="457"/>
      <c r="L31" s="404"/>
      <c r="M31" s="426"/>
      <c r="N31" s="539"/>
      <c r="O31" s="539"/>
      <c r="P31" s="549"/>
    </row>
    <row r="32" spans="1:18" x14ac:dyDescent="0.2">
      <c r="A32" s="402"/>
      <c r="B32" s="461" t="s">
        <v>72</v>
      </c>
      <c r="C32" s="462">
        <f>IF(B16="","",O19-C18)</f>
        <v>1049.0100000000002</v>
      </c>
      <c r="D32" s="463"/>
      <c r="E32" s="464"/>
      <c r="F32" s="430"/>
      <c r="G32" s="430"/>
      <c r="H32" s="465"/>
      <c r="I32" s="460"/>
      <c r="J32" s="460"/>
      <c r="K32" s="457"/>
      <c r="L32" s="404"/>
      <c r="M32" s="426"/>
      <c r="N32" s="539">
        <f>D18</f>
        <v>140.08596378546912</v>
      </c>
      <c r="O32" s="539">
        <f>C18</f>
        <v>2350.9899999999998</v>
      </c>
      <c r="P32" s="549"/>
      <c r="R32" s="538"/>
    </row>
    <row r="33" spans="1:18" x14ac:dyDescent="0.2">
      <c r="A33" s="468"/>
      <c r="B33" s="469" t="s">
        <v>106</v>
      </c>
      <c r="C33" s="470">
        <f>(C32-C25)</f>
        <v>767.01000000000022</v>
      </c>
      <c r="D33" s="471"/>
      <c r="E33" s="472"/>
      <c r="F33" s="430"/>
      <c r="G33" s="430"/>
      <c r="H33" s="465"/>
      <c r="I33" s="466"/>
      <c r="J33" s="466"/>
      <c r="K33" s="467"/>
      <c r="L33" s="430"/>
      <c r="M33" s="426"/>
      <c r="N33" s="539"/>
      <c r="O33" s="539"/>
      <c r="P33" s="549"/>
    </row>
    <row r="34" spans="1:18" ht="13.5" thickBot="1" x14ac:dyDescent="0.25">
      <c r="A34" s="468"/>
      <c r="B34" s="474" t="s">
        <v>73</v>
      </c>
      <c r="C34" s="475">
        <f>IF(C32="","",C33-SUM(C19:C22))</f>
        <v>117.01000000000022</v>
      </c>
      <c r="D34" s="695" t="str">
        <f>IF(C34&lt;0,"&lt;&lt;&lt;&lt;&lt;&lt;  Over Loaded! ","")</f>
        <v/>
      </c>
      <c r="E34" s="696"/>
      <c r="F34" s="476"/>
      <c r="G34" s="430"/>
      <c r="H34" s="430"/>
      <c r="I34" s="473" t="s">
        <v>79</v>
      </c>
      <c r="J34" s="466"/>
      <c r="K34" s="467"/>
      <c r="L34" s="430"/>
      <c r="M34" s="426"/>
      <c r="N34" s="539">
        <f>N28</f>
        <v>145.86675593627618</v>
      </c>
      <c r="O34" s="539">
        <f>O28</f>
        <v>3270.99</v>
      </c>
      <c r="P34" s="549"/>
    </row>
    <row r="35" spans="1:18" ht="13.5" thickBot="1" x14ac:dyDescent="0.25">
      <c r="A35" s="468"/>
      <c r="B35" s="478"/>
      <c r="C35" s="478"/>
      <c r="D35" s="478"/>
      <c r="E35" s="478"/>
      <c r="F35" s="478"/>
      <c r="G35" s="531" t="s">
        <v>71</v>
      </c>
      <c r="H35" s="479">
        <v>210</v>
      </c>
      <c r="I35" s="477">
        <v>25</v>
      </c>
      <c r="J35" s="430"/>
      <c r="K35" s="404"/>
      <c r="L35" s="478"/>
      <c r="M35" s="426"/>
      <c r="N35" s="539">
        <f>IF(N39="","",(E24+N39+E27)/(C24+N37-C27))</f>
        <v>143.85938884629556</v>
      </c>
      <c r="O35" s="539">
        <f>IF(B16="","",(C24+N37-C27))</f>
        <v>3012.99</v>
      </c>
      <c r="P35" s="549"/>
    </row>
    <row r="36" spans="1:18" x14ac:dyDescent="0.2">
      <c r="A36" s="468"/>
      <c r="B36" s="478"/>
      <c r="C36" s="478"/>
      <c r="D36" s="478"/>
      <c r="E36" s="478"/>
      <c r="F36" s="478"/>
      <c r="G36" s="531" t="s">
        <v>70</v>
      </c>
      <c r="H36" s="479">
        <v>10</v>
      </c>
      <c r="I36" s="480" t="s">
        <v>74</v>
      </c>
      <c r="J36" s="479"/>
      <c r="K36" s="481"/>
      <c r="L36" s="478"/>
      <c r="M36" s="426"/>
      <c r="N36" s="541"/>
      <c r="O36" s="540"/>
      <c r="P36" s="549"/>
    </row>
    <row r="37" spans="1:18" ht="15" customHeight="1" x14ac:dyDescent="0.2">
      <c r="A37" s="468"/>
      <c r="B37" s="567" t="s">
        <v>126</v>
      </c>
      <c r="C37" s="568">
        <v>133</v>
      </c>
      <c r="D37" s="572" t="s">
        <v>129</v>
      </c>
      <c r="E37" s="485"/>
      <c r="F37" s="484"/>
      <c r="G37" s="478"/>
      <c r="H37" s="430"/>
      <c r="I37" s="480" t="s">
        <v>76</v>
      </c>
      <c r="J37" s="479">
        <v>15</v>
      </c>
      <c r="K37" s="482"/>
      <c r="L37" s="483"/>
      <c r="M37" s="426"/>
      <c r="N37" s="539"/>
      <c r="O37" s="540"/>
      <c r="P37" s="549"/>
      <c r="R37" s="538"/>
    </row>
    <row r="38" spans="1:18" x14ac:dyDescent="0.2">
      <c r="A38" s="468"/>
      <c r="B38" s="567" t="s">
        <v>128</v>
      </c>
      <c r="C38" s="569">
        <f>C37*(SQRT(C28/O19))</f>
        <v>130.45231505397356</v>
      </c>
      <c r="D38" s="488" t="s">
        <v>130</v>
      </c>
      <c r="E38" s="484"/>
      <c r="F38" s="487"/>
      <c r="G38" s="689" t="s">
        <v>78</v>
      </c>
      <c r="H38" s="690"/>
      <c r="I38" s="430"/>
      <c r="J38" s="430"/>
      <c r="K38" s="430"/>
      <c r="L38" s="486"/>
      <c r="M38" s="426"/>
      <c r="N38" s="542">
        <v>48</v>
      </c>
      <c r="O38" s="540"/>
      <c r="P38" s="549"/>
      <c r="R38" s="538"/>
    </row>
    <row r="39" spans="1:18" x14ac:dyDescent="0.2">
      <c r="A39" s="468"/>
      <c r="B39" s="567" t="s">
        <v>127</v>
      </c>
      <c r="C39" s="569">
        <f>C37*(SQRT(C31/O19))</f>
        <v>128.03706047813793</v>
      </c>
      <c r="D39" s="572" t="s">
        <v>131</v>
      </c>
      <c r="E39" s="485"/>
      <c r="F39" s="484"/>
      <c r="G39" s="689" t="s">
        <v>77</v>
      </c>
      <c r="H39" s="690"/>
      <c r="I39" s="489">
        <f>IF(H36="","",H36*ABS(SIN(RADIANS(H35-(I35*10)))))</f>
        <v>6.4278760968653925</v>
      </c>
      <c r="J39" s="490" t="s">
        <v>75</v>
      </c>
      <c r="K39" s="489">
        <f>IF(J37="","",J37*ABS(SIN(RADIANS(H35-(I35*10)))))</f>
        <v>9.6418141452980883</v>
      </c>
      <c r="L39" s="491"/>
      <c r="M39" s="426"/>
      <c r="N39" s="541">
        <f>N37*N38</f>
        <v>0</v>
      </c>
      <c r="O39" s="540"/>
      <c r="P39" s="549"/>
      <c r="R39" s="538"/>
    </row>
    <row r="40" spans="1:18" ht="13.5" thickBot="1" x14ac:dyDescent="0.25">
      <c r="A40" s="493"/>
      <c r="B40" s="543"/>
      <c r="C40" s="494"/>
      <c r="D40" s="494"/>
      <c r="E40" s="494"/>
      <c r="F40" s="495"/>
      <c r="G40" s="495"/>
      <c r="H40" s="495"/>
      <c r="I40" s="489" t="str">
        <f>IF(J36="","",H36*ABS(SIN(RADIANS(H35-(I35*10)))))</f>
        <v/>
      </c>
      <c r="J40" s="492" t="s">
        <v>75</v>
      </c>
      <c r="K40" s="489" t="str">
        <f>IF(J36="","",IF(J37="",H36*ABS(SIN(RADIANS(J36-(I35*10)))),J37*ABS(SIN(RADIANS(J36-(I35*10))))))</f>
        <v/>
      </c>
      <c r="L40" s="491"/>
      <c r="M40" s="430"/>
      <c r="N40" s="551"/>
      <c r="O40" s="551"/>
      <c r="P40" s="550"/>
    </row>
    <row r="41" spans="1:18" ht="13.5" thickBot="1" x14ac:dyDescent="0.25">
      <c r="I41" s="495"/>
      <c r="J41" s="495"/>
      <c r="K41" s="495"/>
      <c r="L41" s="495"/>
      <c r="M41" s="495"/>
    </row>
  </sheetData>
  <sortState xmlns:xlrd2="http://schemas.microsoft.com/office/spreadsheetml/2017/richdata2" ref="I6:M10">
    <sortCondition ref="I5"/>
  </sortState>
  <mergeCells count="13">
    <mergeCell ref="I12:L12"/>
    <mergeCell ref="B2:O2"/>
    <mergeCell ref="E4:G4"/>
    <mergeCell ref="I4:M4"/>
    <mergeCell ref="E7:G7"/>
    <mergeCell ref="E8:F8"/>
    <mergeCell ref="E10:G10"/>
    <mergeCell ref="G39:H39"/>
    <mergeCell ref="I15:J15"/>
    <mergeCell ref="N14:O14"/>
    <mergeCell ref="N15:O15"/>
    <mergeCell ref="D34:E34"/>
    <mergeCell ref="G38:H38"/>
  </mergeCells>
  <dataValidations count="1">
    <dataValidation type="list" allowBlank="1" showInputMessage="1" showErrorMessage="1" sqref="C4" xr:uid="{00000000-0002-0000-0A00-000000000000}">
      <formula1>$I$5:$I$11</formula1>
    </dataValidation>
  </dataValidations>
  <pageMargins left="0.7" right="0.7" top="0.75" bottom="0.75" header="0.3" footer="0.3"/>
  <pageSetup scale="84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  <pageSetUpPr fitToPage="1"/>
  </sheetPr>
  <dimension ref="A1:R40"/>
  <sheetViews>
    <sheetView zoomScale="90" zoomScaleNormal="90" workbookViewId="0">
      <selection activeCell="C13" sqref="C13"/>
    </sheetView>
  </sheetViews>
  <sheetFormatPr defaultRowHeight="12.75" x14ac:dyDescent="0.2"/>
  <cols>
    <col min="1" max="1" width="2.7109375" customWidth="1"/>
    <col min="2" max="2" width="21.5703125" customWidth="1"/>
    <col min="3" max="4" width="9.28515625" customWidth="1"/>
    <col min="5" max="5" width="10.140625" customWidth="1"/>
    <col min="7" max="7" width="14.85546875" customWidth="1"/>
    <col min="9" max="10" width="10" customWidth="1"/>
    <col min="12" max="12" width="9.85546875" customWidth="1"/>
    <col min="13" max="13" width="2.7109375" customWidth="1"/>
    <col min="14" max="14" width="9.85546875" customWidth="1"/>
    <col min="15" max="15" width="7.7109375" customWidth="1"/>
    <col min="16" max="16" width="2.7109375" customWidth="1"/>
  </cols>
  <sheetData>
    <row r="1" spans="1:18" ht="13.5" thickBot="1" x14ac:dyDescent="0.25">
      <c r="A1" s="399"/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</row>
    <row r="2" spans="1:18" ht="13.5" thickBot="1" x14ac:dyDescent="0.25">
      <c r="A2" s="402"/>
      <c r="B2" s="698" t="s">
        <v>42</v>
      </c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700"/>
      <c r="P2" s="403"/>
    </row>
    <row r="3" spans="1:18" ht="13.5" thickBot="1" x14ac:dyDescent="0.25">
      <c r="A3" s="402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533"/>
      <c r="O3" s="533"/>
      <c r="P3" s="534"/>
    </row>
    <row r="4" spans="1:18" ht="13.5" thickBot="1" x14ac:dyDescent="0.25">
      <c r="A4" s="402"/>
      <c r="B4" s="405" t="s">
        <v>33</v>
      </c>
      <c r="C4" s="406" t="s">
        <v>105</v>
      </c>
      <c r="D4" s="404"/>
      <c r="E4" s="701" t="s">
        <v>45</v>
      </c>
      <c r="F4" s="702"/>
      <c r="G4" s="703"/>
      <c r="H4" s="404"/>
      <c r="I4" s="704" t="s">
        <v>19</v>
      </c>
      <c r="J4" s="705"/>
      <c r="K4" s="705"/>
      <c r="L4" s="705"/>
      <c r="M4" s="706"/>
      <c r="N4" s="533"/>
      <c r="O4" s="535"/>
      <c r="P4" s="534"/>
    </row>
    <row r="5" spans="1:18" ht="13.5" thickBot="1" x14ac:dyDescent="0.25">
      <c r="A5" s="402"/>
      <c r="B5" s="404"/>
      <c r="C5" s="404"/>
      <c r="D5" s="404"/>
      <c r="E5" s="405" t="s">
        <v>30</v>
      </c>
      <c r="F5" s="408"/>
      <c r="G5" s="406">
        <v>92</v>
      </c>
      <c r="H5" s="404"/>
      <c r="I5" s="409" t="s">
        <v>105</v>
      </c>
      <c r="J5" s="410">
        <v>138.5</v>
      </c>
      <c r="K5" s="411">
        <v>2367.5</v>
      </c>
      <c r="L5" s="715">
        <v>327900</v>
      </c>
      <c r="M5" s="716"/>
      <c r="N5" s="533"/>
      <c r="O5" s="535"/>
      <c r="P5" s="534"/>
    </row>
    <row r="6" spans="1:18" ht="13.5" thickBot="1" x14ac:dyDescent="0.25">
      <c r="A6" s="402"/>
      <c r="B6" s="404"/>
      <c r="C6" s="404"/>
      <c r="D6" s="404"/>
      <c r="E6" s="404"/>
      <c r="F6" s="412"/>
      <c r="G6" s="412"/>
      <c r="H6" s="404"/>
      <c r="I6" s="413" t="s">
        <v>139</v>
      </c>
      <c r="J6" s="414">
        <v>137.68</v>
      </c>
      <c r="K6" s="415">
        <v>2404.65</v>
      </c>
      <c r="L6" s="715">
        <v>331075.01</v>
      </c>
      <c r="M6" s="716"/>
      <c r="N6" s="533"/>
      <c r="O6" s="533"/>
      <c r="P6" s="534"/>
    </row>
    <row r="7" spans="1:18" ht="13.5" thickBot="1" x14ac:dyDescent="0.25">
      <c r="A7" s="402"/>
      <c r="B7" s="404"/>
      <c r="C7" s="404"/>
      <c r="D7" s="404"/>
      <c r="E7" s="707" t="s">
        <v>40</v>
      </c>
      <c r="F7" s="708"/>
      <c r="G7" s="709"/>
      <c r="H7" s="404"/>
      <c r="I7" s="413"/>
      <c r="J7" s="414" t="str">
        <f t="shared" ref="J7:J10" si="0">IF(I7="","",L7/K7)</f>
        <v/>
      </c>
      <c r="K7" s="415"/>
      <c r="L7" s="715"/>
      <c r="M7" s="716"/>
      <c r="N7" s="533"/>
      <c r="O7" s="533"/>
      <c r="P7" s="534"/>
    </row>
    <row r="8" spans="1:18" ht="13.5" thickBot="1" x14ac:dyDescent="0.25">
      <c r="A8" s="402"/>
      <c r="B8" s="405" t="s">
        <v>87</v>
      </c>
      <c r="C8" s="416">
        <v>200</v>
      </c>
      <c r="D8" s="404"/>
      <c r="E8" s="710" t="str">
        <f>"Total Fuel (gal)    ="</f>
        <v>Total Fuel (gal)    =</v>
      </c>
      <c r="F8" s="711"/>
      <c r="G8" s="417"/>
      <c r="H8" s="404"/>
      <c r="I8" s="413"/>
      <c r="J8" s="414" t="str">
        <f t="shared" si="0"/>
        <v/>
      </c>
      <c r="K8" s="415"/>
      <c r="L8" s="715"/>
      <c r="M8" s="716"/>
      <c r="N8" s="533"/>
      <c r="O8" s="533"/>
      <c r="P8" s="534"/>
    </row>
    <row r="9" spans="1:18" ht="13.5" thickBot="1" x14ac:dyDescent="0.25">
      <c r="A9" s="402"/>
      <c r="B9" s="405" t="s">
        <v>89</v>
      </c>
      <c r="C9" s="418">
        <v>185</v>
      </c>
      <c r="D9" s="404"/>
      <c r="E9" s="404"/>
      <c r="F9" s="404"/>
      <c r="G9" s="404"/>
      <c r="H9" s="404"/>
      <c r="I9" s="413"/>
      <c r="J9" s="414" t="str">
        <f t="shared" si="0"/>
        <v/>
      </c>
      <c r="K9" s="415"/>
      <c r="L9" s="715"/>
      <c r="M9" s="716"/>
      <c r="N9" s="533"/>
      <c r="O9" s="533"/>
      <c r="P9" s="534"/>
    </row>
    <row r="10" spans="1:18" ht="13.5" thickBot="1" x14ac:dyDescent="0.25">
      <c r="A10" s="402"/>
      <c r="B10" s="74" t="s">
        <v>90</v>
      </c>
      <c r="C10" s="418">
        <v>0</v>
      </c>
      <c r="D10" s="404"/>
      <c r="E10" s="712" t="s">
        <v>107</v>
      </c>
      <c r="F10" s="713"/>
      <c r="G10" s="714"/>
      <c r="H10" s="404"/>
      <c r="I10" s="419"/>
      <c r="J10" s="420" t="str">
        <f t="shared" si="0"/>
        <v/>
      </c>
      <c r="K10" s="421"/>
      <c r="L10" s="717"/>
      <c r="M10" s="718"/>
      <c r="N10" s="533"/>
      <c r="O10" s="533"/>
      <c r="P10" s="534"/>
    </row>
    <row r="11" spans="1:18" x14ac:dyDescent="0.2">
      <c r="A11" s="402"/>
      <c r="B11" s="364" t="s">
        <v>91</v>
      </c>
      <c r="C11" s="422">
        <v>0</v>
      </c>
      <c r="D11" s="404"/>
      <c r="E11" s="423" t="str">
        <f>"Total Fuel (gal)       ="</f>
        <v>Total Fuel (gal)       =</v>
      </c>
      <c r="F11" s="424"/>
      <c r="G11" s="425">
        <v>20</v>
      </c>
      <c r="H11" s="404"/>
      <c r="I11" s="697"/>
      <c r="J11" s="697"/>
      <c r="K11" s="697"/>
      <c r="L11" s="697"/>
      <c r="M11" s="426"/>
      <c r="N11" s="533"/>
      <c r="O11" s="533"/>
      <c r="P11" s="534"/>
    </row>
    <row r="12" spans="1:18" ht="13.5" thickBot="1" x14ac:dyDescent="0.25">
      <c r="A12" s="402"/>
      <c r="B12" s="398" t="s">
        <v>102</v>
      </c>
      <c r="C12" s="417">
        <v>40</v>
      </c>
      <c r="D12" s="404"/>
      <c r="E12" s="427" t="s">
        <v>27</v>
      </c>
      <c r="F12" s="428"/>
      <c r="G12" s="429">
        <v>2</v>
      </c>
      <c r="H12" s="404"/>
      <c r="I12" s="404"/>
      <c r="J12" s="404"/>
      <c r="K12" s="404"/>
      <c r="L12" s="404"/>
      <c r="M12" s="426"/>
      <c r="N12" s="533"/>
      <c r="O12" s="533"/>
      <c r="P12" s="534"/>
    </row>
    <row r="13" spans="1:18" ht="13.5" thickBot="1" x14ac:dyDescent="0.25">
      <c r="A13" s="402"/>
      <c r="B13" s="430"/>
      <c r="C13" s="431"/>
      <c r="D13" s="404"/>
      <c r="E13" s="404"/>
      <c r="F13" s="404"/>
      <c r="G13" s="412"/>
      <c r="H13" s="404"/>
      <c r="I13" s="404"/>
      <c r="J13" s="404"/>
      <c r="K13" s="404"/>
      <c r="L13" s="404"/>
      <c r="M13" s="426"/>
      <c r="N13" s="533"/>
      <c r="O13" s="533"/>
      <c r="P13" s="534"/>
    </row>
    <row r="14" spans="1:18" ht="13.5" thickBot="1" x14ac:dyDescent="0.25">
      <c r="A14" s="402"/>
      <c r="B14" s="404"/>
      <c r="C14" s="404"/>
      <c r="D14" s="404"/>
      <c r="E14" s="404"/>
      <c r="F14" s="432"/>
      <c r="G14" s="432"/>
      <c r="H14" s="432"/>
      <c r="I14" s="691" t="s">
        <v>114</v>
      </c>
      <c r="J14" s="692"/>
      <c r="K14" s="432"/>
      <c r="L14" s="404"/>
      <c r="M14" s="426"/>
      <c r="N14" s="693"/>
      <c r="O14" s="693"/>
      <c r="P14" s="534"/>
    </row>
    <row r="15" spans="1:18" x14ac:dyDescent="0.2">
      <c r="A15" s="402"/>
      <c r="B15" s="433" t="s">
        <v>2</v>
      </c>
      <c r="C15" s="434" t="s">
        <v>0</v>
      </c>
      <c r="D15" s="434" t="s">
        <v>3</v>
      </c>
      <c r="E15" s="435" t="s">
        <v>1</v>
      </c>
      <c r="F15" s="412"/>
      <c r="G15" s="532"/>
      <c r="H15" s="430"/>
      <c r="I15" s="430"/>
      <c r="J15" s="430"/>
      <c r="K15" s="532"/>
      <c r="L15" s="404"/>
      <c r="M15" s="426"/>
      <c r="N15" s="694"/>
      <c r="O15" s="694"/>
      <c r="P15" s="534"/>
    </row>
    <row r="16" spans="1:18" x14ac:dyDescent="0.2">
      <c r="A16" s="402"/>
      <c r="B16" s="436" t="str">
        <f>C4</f>
        <v>110FL</v>
      </c>
      <c r="C16" s="437"/>
      <c r="D16" s="438"/>
      <c r="E16" s="439"/>
      <c r="F16" s="412"/>
      <c r="G16" s="404"/>
      <c r="H16" s="404"/>
      <c r="I16" s="404"/>
      <c r="J16" s="404"/>
      <c r="K16" s="412"/>
      <c r="L16" s="404"/>
      <c r="M16" s="426"/>
      <c r="N16" s="539">
        <v>148.1</v>
      </c>
      <c r="O16" s="539">
        <v>2100</v>
      </c>
      <c r="P16" s="534"/>
      <c r="R16" s="538"/>
    </row>
    <row r="17" spans="1:18" x14ac:dyDescent="0.2">
      <c r="A17" s="402"/>
      <c r="B17" s="72"/>
      <c r="C17" s="440"/>
      <c r="D17" s="441"/>
      <c r="E17" s="442"/>
      <c r="F17" s="412"/>
      <c r="G17" s="404"/>
      <c r="H17" s="404"/>
      <c r="I17" s="404"/>
      <c r="J17" s="404"/>
      <c r="K17" s="404"/>
      <c r="L17" s="404"/>
      <c r="M17" s="426"/>
      <c r="N17" s="539">
        <v>137.80000000000001</v>
      </c>
      <c r="O17" s="539">
        <v>2100</v>
      </c>
      <c r="P17" s="534"/>
      <c r="R17" s="538"/>
    </row>
    <row r="18" spans="1:18" x14ac:dyDescent="0.2">
      <c r="A18" s="402"/>
      <c r="B18" s="72" t="s">
        <v>31</v>
      </c>
      <c r="C18" s="440">
        <f>IF(B16=I5,K5,IF(B16=I6,K6,IF(B16=I7,K7,IF(B16=I8,K8,IF(B16=I9,K9,IF(B16=I10,K10," "))))))</f>
        <v>2367.5</v>
      </c>
      <c r="D18" s="443">
        <f>IF(C18=0,0,(E18/C18))</f>
        <v>138.50052798310455</v>
      </c>
      <c r="E18" s="444">
        <f>IF(B16=I5,L5,L6)</f>
        <v>327900</v>
      </c>
      <c r="F18" s="412"/>
      <c r="G18" s="404"/>
      <c r="H18" s="404"/>
      <c r="I18" s="404"/>
      <c r="J18" s="404"/>
      <c r="K18" s="404"/>
      <c r="L18" s="404"/>
      <c r="M18" s="426"/>
      <c r="N18" s="539">
        <v>139.1</v>
      </c>
      <c r="O18" s="539">
        <v>2700</v>
      </c>
      <c r="P18" s="534"/>
      <c r="R18" s="538"/>
    </row>
    <row r="19" spans="1:18" x14ac:dyDescent="0.2">
      <c r="A19" s="402"/>
      <c r="B19" s="72" t="s">
        <v>112</v>
      </c>
      <c r="C19" s="445">
        <f>SUM(C8,C9)</f>
        <v>385</v>
      </c>
      <c r="D19" s="443">
        <v>143.5</v>
      </c>
      <c r="E19" s="444">
        <f>(C19*D19)</f>
        <v>55247.5</v>
      </c>
      <c r="F19" s="404"/>
      <c r="G19" s="404"/>
      <c r="H19" s="404"/>
      <c r="I19" s="404"/>
      <c r="J19" s="404"/>
      <c r="K19" s="404"/>
      <c r="L19" s="404"/>
      <c r="M19" s="426"/>
      <c r="N19" s="539">
        <v>142.30000000000001</v>
      </c>
      <c r="O19" s="539">
        <v>3400</v>
      </c>
      <c r="P19" s="534"/>
      <c r="R19" s="538"/>
    </row>
    <row r="20" spans="1:18" x14ac:dyDescent="0.2">
      <c r="A20" s="402"/>
      <c r="B20" s="72" t="s">
        <v>113</v>
      </c>
      <c r="C20" s="445">
        <f>SUM(C10,C11)</f>
        <v>0</v>
      </c>
      <c r="D20" s="443">
        <v>180</v>
      </c>
      <c r="E20" s="444">
        <f>(C20*D20)</f>
        <v>0</v>
      </c>
      <c r="F20" s="404"/>
      <c r="G20" s="404"/>
      <c r="H20" s="407"/>
      <c r="I20" s="407"/>
      <c r="J20" s="407"/>
      <c r="K20" s="407"/>
      <c r="L20" s="404"/>
      <c r="M20" s="426"/>
      <c r="N20" s="539">
        <v>148.1</v>
      </c>
      <c r="O20" s="539">
        <v>3400</v>
      </c>
      <c r="P20" s="534"/>
    </row>
    <row r="21" spans="1:18" x14ac:dyDescent="0.2">
      <c r="A21" s="402"/>
      <c r="B21" s="72" t="s">
        <v>116</v>
      </c>
      <c r="C21" s="445">
        <v>0</v>
      </c>
      <c r="D21" s="443">
        <v>180</v>
      </c>
      <c r="E21" s="444">
        <f>(C21*D21)</f>
        <v>0</v>
      </c>
      <c r="F21" s="404"/>
      <c r="G21" s="404"/>
      <c r="H21" s="404"/>
      <c r="I21" s="404"/>
      <c r="J21" s="404"/>
      <c r="K21" s="404"/>
      <c r="L21" s="404"/>
      <c r="M21" s="426"/>
      <c r="N21" s="539">
        <v>148.1</v>
      </c>
      <c r="O21" s="539">
        <v>2100</v>
      </c>
      <c r="P21" s="534"/>
    </row>
    <row r="22" spans="1:18" x14ac:dyDescent="0.2">
      <c r="A22" s="402"/>
      <c r="B22" s="72" t="s">
        <v>13</v>
      </c>
      <c r="C22" s="445">
        <f>C12</f>
        <v>40</v>
      </c>
      <c r="D22" s="443">
        <v>208</v>
      </c>
      <c r="E22" s="444">
        <f>(C22*D22)</f>
        <v>8320</v>
      </c>
      <c r="F22" s="404"/>
      <c r="G22" s="404"/>
      <c r="H22" s="412"/>
      <c r="I22" s="412"/>
      <c r="J22" s="412"/>
      <c r="K22" s="412"/>
      <c r="L22" s="404"/>
      <c r="M22" s="426"/>
      <c r="N22" s="539"/>
      <c r="O22" s="539"/>
      <c r="P22" s="534"/>
    </row>
    <row r="23" spans="1:18" x14ac:dyDescent="0.2">
      <c r="A23" s="402"/>
      <c r="B23" s="72"/>
      <c r="C23" s="445"/>
      <c r="D23" s="443"/>
      <c r="E23" s="444"/>
      <c r="F23" s="404"/>
      <c r="G23" s="404"/>
      <c r="H23" s="412"/>
      <c r="I23" s="412"/>
      <c r="J23" s="412"/>
      <c r="K23" s="412"/>
      <c r="L23" s="404"/>
      <c r="M23" s="426"/>
      <c r="N23" s="539"/>
      <c r="O23" s="539"/>
      <c r="P23" s="534"/>
      <c r="R23" s="538"/>
    </row>
    <row r="24" spans="1:18" x14ac:dyDescent="0.2">
      <c r="A24" s="402"/>
      <c r="B24" s="446" t="s">
        <v>16</v>
      </c>
      <c r="C24" s="447">
        <f>IF(B16=0,0,SUM(C18:C23))</f>
        <v>2792.5</v>
      </c>
      <c r="D24" s="448">
        <f>E24/C24</f>
        <v>140.18531781557743</v>
      </c>
      <c r="E24" s="449">
        <f>IF(B16="See Other Chart",0,SUM(E18:E23))</f>
        <v>391467.5</v>
      </c>
      <c r="F24" s="404"/>
      <c r="G24" s="404"/>
      <c r="H24" s="404"/>
      <c r="I24" s="432"/>
      <c r="J24" s="432"/>
      <c r="K24" s="432"/>
      <c r="L24" s="404"/>
      <c r="M24" s="426"/>
      <c r="N24" s="539"/>
      <c r="O24" s="539"/>
      <c r="P24" s="534"/>
      <c r="R24" s="538"/>
    </row>
    <row r="25" spans="1:18" x14ac:dyDescent="0.2">
      <c r="A25" s="402"/>
      <c r="B25" s="72" t="s">
        <v>32</v>
      </c>
      <c r="C25" s="450">
        <f>IF(C18=0,0,IF(G8="",G5*6,G8*6))</f>
        <v>552</v>
      </c>
      <c r="D25" s="451">
        <v>154.9</v>
      </c>
      <c r="E25" s="444">
        <f>C25*D25</f>
        <v>85504.8</v>
      </c>
      <c r="F25" s="404"/>
      <c r="G25" s="404"/>
      <c r="H25" s="404"/>
      <c r="I25" s="404"/>
      <c r="J25" s="404"/>
      <c r="K25" s="404"/>
      <c r="L25" s="404"/>
      <c r="M25" s="426"/>
      <c r="N25" s="539"/>
      <c r="O25" s="539"/>
      <c r="P25" s="534"/>
      <c r="R25" s="538"/>
    </row>
    <row r="26" spans="1:18" x14ac:dyDescent="0.2">
      <c r="A26" s="402"/>
      <c r="B26" s="72"/>
      <c r="C26" s="452"/>
      <c r="D26" s="453"/>
      <c r="E26" s="454"/>
      <c r="F26" s="404"/>
      <c r="G26" s="404"/>
      <c r="H26" s="455"/>
      <c r="I26" s="456"/>
      <c r="J26" s="456"/>
      <c r="K26" s="457"/>
      <c r="L26" s="404"/>
      <c r="M26" s="426"/>
      <c r="N26" s="539"/>
      <c r="O26" s="539"/>
      <c r="P26" s="534"/>
      <c r="R26" s="538"/>
    </row>
    <row r="27" spans="1:18" x14ac:dyDescent="0.2">
      <c r="A27" s="402"/>
      <c r="B27" s="72" t="s">
        <v>28</v>
      </c>
      <c r="C27" s="458">
        <f>IF(B16="",0,(G12*6)*-1)</f>
        <v>-12</v>
      </c>
      <c r="D27" s="451">
        <v>154.9</v>
      </c>
      <c r="E27" s="444">
        <f>IF(C27=0,0,C27*D27)</f>
        <v>-1858.8000000000002</v>
      </c>
      <c r="F27" s="404"/>
      <c r="G27" s="404"/>
      <c r="H27" s="455"/>
      <c r="I27" s="456"/>
      <c r="J27" s="456"/>
      <c r="K27" s="457"/>
      <c r="L27" s="404"/>
      <c r="M27" s="426"/>
      <c r="N27" s="540"/>
      <c r="O27" s="540"/>
      <c r="P27" s="534"/>
    </row>
    <row r="28" spans="1:18" x14ac:dyDescent="0.2">
      <c r="A28" s="402"/>
      <c r="B28" s="446" t="s">
        <v>4</v>
      </c>
      <c r="C28" s="447">
        <f>IF(B16="",0,SUM(C24:C25)+C27)</f>
        <v>3332.5</v>
      </c>
      <c r="D28" s="448">
        <f>IF(C28=0,0,E28/C28)</f>
        <v>142.56969242310578</v>
      </c>
      <c r="E28" s="449">
        <f>IF(B16="",0,SUM(E24:E27))</f>
        <v>475113.5</v>
      </c>
      <c r="F28" s="404"/>
      <c r="G28" s="404"/>
      <c r="H28" s="455"/>
      <c r="I28" s="456"/>
      <c r="J28" s="456"/>
      <c r="K28" s="457"/>
      <c r="L28" s="404"/>
      <c r="M28" s="426"/>
      <c r="N28" s="539">
        <f>D28</f>
        <v>142.56969242310578</v>
      </c>
      <c r="O28" s="539">
        <f>C28</f>
        <v>3332.5</v>
      </c>
      <c r="P28" s="534"/>
      <c r="R28" s="538"/>
    </row>
    <row r="29" spans="1:18" x14ac:dyDescent="0.2">
      <c r="A29" s="402"/>
      <c r="B29" s="72"/>
      <c r="C29" s="459"/>
      <c r="D29" s="451"/>
      <c r="E29" s="454"/>
      <c r="F29" s="404"/>
      <c r="G29" s="404"/>
      <c r="H29" s="455"/>
      <c r="I29" s="456"/>
      <c r="J29" s="456"/>
      <c r="K29" s="457"/>
      <c r="L29" s="404"/>
      <c r="M29" s="426"/>
      <c r="N29" s="539">
        <f>D31</f>
        <v>142.10910505836577</v>
      </c>
      <c r="O29" s="539">
        <f>C31</f>
        <v>3212.5</v>
      </c>
      <c r="P29" s="534"/>
      <c r="R29" s="538"/>
    </row>
    <row r="30" spans="1:18" x14ac:dyDescent="0.2">
      <c r="A30" s="402"/>
      <c r="B30" s="72" t="s">
        <v>14</v>
      </c>
      <c r="C30" s="459">
        <f>IF(B16="",0,(G11*6)*-1)</f>
        <v>-120</v>
      </c>
      <c r="D30" s="451">
        <v>154.9</v>
      </c>
      <c r="E30" s="444">
        <f>IF(C30=0,0,C30*D30)</f>
        <v>-18588</v>
      </c>
      <c r="F30" s="404"/>
      <c r="G30" s="404"/>
      <c r="H30" s="455"/>
      <c r="I30" s="460"/>
      <c r="J30" s="460"/>
      <c r="K30" s="457"/>
      <c r="L30" s="404"/>
      <c r="M30" s="426"/>
      <c r="N30" s="539">
        <f>D24</f>
        <v>140.18531781557743</v>
      </c>
      <c r="O30" s="539">
        <f>C24</f>
        <v>2792.5</v>
      </c>
      <c r="P30" s="534"/>
      <c r="R30" s="538"/>
    </row>
    <row r="31" spans="1:18" ht="13.5" thickBot="1" x14ac:dyDescent="0.25">
      <c r="A31" s="402"/>
      <c r="B31" s="446" t="s">
        <v>5</v>
      </c>
      <c r="C31" s="447">
        <f>IF(B16="",0,C28+C30)</f>
        <v>3212.5</v>
      </c>
      <c r="D31" s="448">
        <f>IF(C31=0,0,E31/C31)</f>
        <v>142.10910505836577</v>
      </c>
      <c r="E31" s="449">
        <f>IF(B16="",0,E28+E30)</f>
        <v>456525.5</v>
      </c>
      <c r="F31" s="404"/>
      <c r="G31" s="404"/>
      <c r="H31" s="455"/>
      <c r="I31" s="460"/>
      <c r="J31" s="460"/>
      <c r="K31" s="457"/>
      <c r="L31" s="404"/>
      <c r="M31" s="426"/>
      <c r="N31" s="539"/>
      <c r="O31" s="539"/>
      <c r="P31" s="534"/>
    </row>
    <row r="32" spans="1:18" x14ac:dyDescent="0.2">
      <c r="A32" s="402"/>
      <c r="B32" s="461" t="s">
        <v>72</v>
      </c>
      <c r="C32" s="462">
        <f>IF(B16="","",O19-C18)</f>
        <v>1032.5</v>
      </c>
      <c r="D32" s="463"/>
      <c r="E32" s="464"/>
      <c r="F32" s="430"/>
      <c r="G32" s="430"/>
      <c r="H32" s="465"/>
      <c r="I32" s="466"/>
      <c r="J32" s="466"/>
      <c r="K32" s="467"/>
      <c r="L32" s="430"/>
      <c r="M32" s="426"/>
      <c r="N32" s="539">
        <f>D18</f>
        <v>138.50052798310455</v>
      </c>
      <c r="O32" s="539">
        <f>C18</f>
        <v>2367.5</v>
      </c>
      <c r="P32" s="534"/>
      <c r="R32" s="538"/>
    </row>
    <row r="33" spans="1:18" ht="13.5" thickBot="1" x14ac:dyDescent="0.25">
      <c r="A33" s="468"/>
      <c r="B33" s="469" t="s">
        <v>106</v>
      </c>
      <c r="C33" s="470">
        <f>(C32-C25)</f>
        <v>480.5</v>
      </c>
      <c r="D33" s="471"/>
      <c r="E33" s="472"/>
      <c r="F33" s="430"/>
      <c r="G33" s="430"/>
      <c r="H33" s="465"/>
      <c r="I33" s="473" t="s">
        <v>79</v>
      </c>
      <c r="J33" s="466"/>
      <c r="K33" s="467"/>
      <c r="L33" s="430"/>
      <c r="M33" s="426"/>
      <c r="N33" s="539"/>
      <c r="O33" s="539"/>
      <c r="P33" s="534"/>
    </row>
    <row r="34" spans="1:18" ht="13.5" thickBot="1" x14ac:dyDescent="0.25">
      <c r="A34" s="468"/>
      <c r="B34" s="474" t="s">
        <v>73</v>
      </c>
      <c r="C34" s="475">
        <f>IF(C32="","",C33-SUM(C19:C22))</f>
        <v>55.5</v>
      </c>
      <c r="D34" s="695" t="str">
        <f>IF(C34&lt;0,"&lt;&lt;&lt;&lt;&lt;&lt;  Over Loaded! ","")</f>
        <v/>
      </c>
      <c r="E34" s="696"/>
      <c r="F34" s="476"/>
      <c r="G34" s="430"/>
      <c r="H34" s="430"/>
      <c r="I34" s="477">
        <v>25</v>
      </c>
      <c r="J34" s="430"/>
      <c r="K34" s="404"/>
      <c r="L34" s="478"/>
      <c r="M34" s="426"/>
      <c r="N34" s="539">
        <f>N28</f>
        <v>142.56969242310578</v>
      </c>
      <c r="O34" s="539">
        <f>O28</f>
        <v>3332.5</v>
      </c>
      <c r="P34" s="534"/>
    </row>
    <row r="35" spans="1:18" x14ac:dyDescent="0.2">
      <c r="A35" s="468"/>
      <c r="B35" s="478"/>
      <c r="C35" s="478"/>
      <c r="D35" s="478"/>
      <c r="E35" s="478"/>
      <c r="F35" s="478"/>
      <c r="G35" s="531" t="s">
        <v>71</v>
      </c>
      <c r="H35" s="479">
        <v>210</v>
      </c>
      <c r="I35" s="480" t="s">
        <v>74</v>
      </c>
      <c r="J35" s="479"/>
      <c r="K35" s="481"/>
      <c r="L35" s="478"/>
      <c r="M35" s="426"/>
      <c r="N35" s="539">
        <f>IF(N39="","",(E24+N39+E27)/(C24+N37-C27))</f>
        <v>138.92269566767695</v>
      </c>
      <c r="O35" s="539">
        <f>IF(B16="","",(C24+N37-C27))</f>
        <v>2804.5</v>
      </c>
      <c r="P35" s="534"/>
    </row>
    <row r="36" spans="1:18" x14ac:dyDescent="0.2">
      <c r="A36" s="468"/>
      <c r="B36" s="544"/>
      <c r="C36" s="544"/>
      <c r="D36" s="478"/>
      <c r="E36" s="478"/>
      <c r="F36" s="478"/>
      <c r="G36" s="531" t="s">
        <v>70</v>
      </c>
      <c r="H36" s="479">
        <v>10</v>
      </c>
      <c r="I36" s="480" t="s">
        <v>76</v>
      </c>
      <c r="J36" s="479">
        <v>15</v>
      </c>
      <c r="K36" s="482"/>
      <c r="L36" s="483"/>
      <c r="M36" s="426"/>
      <c r="N36" s="541"/>
      <c r="O36" s="540"/>
      <c r="P36" s="534"/>
    </row>
    <row r="37" spans="1:18" ht="14.25" customHeight="1" x14ac:dyDescent="0.2">
      <c r="A37" s="468"/>
      <c r="B37" s="567" t="s">
        <v>126</v>
      </c>
      <c r="C37" s="568">
        <v>133</v>
      </c>
      <c r="D37" s="572" t="s">
        <v>129</v>
      </c>
      <c r="E37" s="485"/>
      <c r="F37" s="484"/>
      <c r="G37" s="478"/>
      <c r="H37" s="430"/>
      <c r="I37" s="430"/>
      <c r="J37" s="430"/>
      <c r="K37" s="430"/>
      <c r="L37" s="486"/>
      <c r="M37" s="426"/>
      <c r="N37" s="539"/>
      <c r="O37" s="540"/>
      <c r="P37" s="534"/>
      <c r="R37" s="538"/>
    </row>
    <row r="38" spans="1:18" x14ac:dyDescent="0.2">
      <c r="A38" s="468"/>
      <c r="B38" s="567" t="s">
        <v>128</v>
      </c>
      <c r="C38" s="569">
        <f>C37*(SQRT(C28/O19))</f>
        <v>131.67316098404189</v>
      </c>
      <c r="D38" s="488" t="s">
        <v>130</v>
      </c>
      <c r="E38" s="484"/>
      <c r="F38" s="487"/>
      <c r="G38" s="689" t="s">
        <v>78</v>
      </c>
      <c r="H38" s="690"/>
      <c r="I38" s="489">
        <f>IF(H36="","",H36*ABS(SIN(RADIANS(H35-(I34*10)))))</f>
        <v>6.4278760968653925</v>
      </c>
      <c r="J38" s="490" t="s">
        <v>75</v>
      </c>
      <c r="K38" s="489">
        <f>IF(J36="","",J36*ABS(SIN(RADIANS(H35-(I34*10)))))</f>
        <v>9.6418141452980883</v>
      </c>
      <c r="L38" s="491"/>
      <c r="M38" s="426"/>
      <c r="N38" s="542">
        <v>48</v>
      </c>
      <c r="O38" s="540"/>
      <c r="P38" s="534"/>
      <c r="R38" s="538"/>
    </row>
    <row r="39" spans="1:18" x14ac:dyDescent="0.2">
      <c r="A39" s="468"/>
      <c r="B39" s="567" t="s">
        <v>127</v>
      </c>
      <c r="C39" s="569">
        <f>C37*(SQRT(C31/O19))</f>
        <v>129.28071656852225</v>
      </c>
      <c r="D39" s="572" t="s">
        <v>132</v>
      </c>
      <c r="E39" s="485"/>
      <c r="F39" s="484"/>
      <c r="G39" s="689" t="s">
        <v>77</v>
      </c>
      <c r="H39" s="690"/>
      <c r="I39" s="489" t="str">
        <f>IF(J35="","",H36*ABS(SIN(RADIANS(H35-(I34*10)))))</f>
        <v/>
      </c>
      <c r="J39" s="492" t="s">
        <v>75</v>
      </c>
      <c r="K39" s="489" t="str">
        <f>IF(J35="","",IF(J36="",H36*ABS(SIN(RADIANS(J35-(I34*10)))),J36*ABS(SIN(RADIANS(J35-(I34*10))))))</f>
        <v/>
      </c>
      <c r="L39" s="491"/>
      <c r="M39" s="430"/>
      <c r="N39" s="541">
        <f>N37*N38</f>
        <v>0</v>
      </c>
      <c r="O39" s="540"/>
      <c r="P39" s="534"/>
      <c r="R39" s="538"/>
    </row>
    <row r="40" spans="1:18" ht="13.5" thickBot="1" x14ac:dyDescent="0.25">
      <c r="A40" s="493"/>
      <c r="B40" s="573"/>
      <c r="C40" s="573"/>
      <c r="D40" s="494"/>
      <c r="E40" s="494"/>
      <c r="F40" s="495"/>
      <c r="G40" s="495"/>
      <c r="H40" s="495"/>
      <c r="I40" s="495"/>
      <c r="J40" s="495"/>
      <c r="K40" s="495"/>
      <c r="L40" s="495"/>
      <c r="M40" s="495"/>
      <c r="N40" s="536"/>
      <c r="O40" s="536"/>
      <c r="P40" s="537"/>
    </row>
  </sheetData>
  <mergeCells count="19">
    <mergeCell ref="I11:L11"/>
    <mergeCell ref="B2:O2"/>
    <mergeCell ref="E4:G4"/>
    <mergeCell ref="I4:M4"/>
    <mergeCell ref="L5:M5"/>
    <mergeCell ref="L6:M6"/>
    <mergeCell ref="E7:G7"/>
    <mergeCell ref="L7:M7"/>
    <mergeCell ref="E8:F8"/>
    <mergeCell ref="L8:M8"/>
    <mergeCell ref="L9:M9"/>
    <mergeCell ref="E10:G10"/>
    <mergeCell ref="L10:M10"/>
    <mergeCell ref="G39:H39"/>
    <mergeCell ref="I14:J14"/>
    <mergeCell ref="N14:O14"/>
    <mergeCell ref="N15:O15"/>
    <mergeCell ref="D34:E34"/>
    <mergeCell ref="G38:H38"/>
  </mergeCells>
  <dataValidations count="1">
    <dataValidation type="list" allowBlank="1" showInputMessage="1" showErrorMessage="1" sqref="C4" xr:uid="{00000000-0002-0000-0B00-000000000000}">
      <formula1>$I$5:$I$10</formula1>
    </dataValidation>
  </dataValidations>
  <pageMargins left="0.7" right="0.7" top="0.75" bottom="0.75" header="0.3" footer="0.3"/>
  <pageSetup scale="84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A1:P41"/>
  <sheetViews>
    <sheetView zoomScale="90" zoomScaleNormal="90" workbookViewId="0">
      <selection activeCell="D11" sqref="D11"/>
    </sheetView>
  </sheetViews>
  <sheetFormatPr defaultRowHeight="12.75" x14ac:dyDescent="0.2"/>
  <cols>
    <col min="1" max="1" width="2.7109375" customWidth="1"/>
    <col min="2" max="2" width="21.5703125" customWidth="1"/>
    <col min="3" max="4" width="9.28515625" customWidth="1"/>
    <col min="5" max="5" width="10.140625" customWidth="1"/>
    <col min="7" max="7" width="14.85546875" customWidth="1"/>
    <col min="9" max="10" width="10" customWidth="1"/>
    <col min="11" max="11" width="9" customWidth="1"/>
    <col min="12" max="12" width="9.85546875" customWidth="1"/>
    <col min="13" max="13" width="2.7109375" customWidth="1"/>
    <col min="14" max="14" width="9.85546875" customWidth="1"/>
    <col min="15" max="15" width="7.7109375" customWidth="1"/>
    <col min="16" max="16" width="2.7109375" customWidth="1"/>
  </cols>
  <sheetData>
    <row r="1" spans="1:16" ht="13.5" thickBot="1" x14ac:dyDescent="0.25">
      <c r="A1" s="206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9"/>
    </row>
    <row r="2" spans="1:16" ht="13.5" thickBot="1" x14ac:dyDescent="0.25">
      <c r="A2" s="204"/>
      <c r="B2" s="619" t="s">
        <v>41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1"/>
      <c r="P2" s="166"/>
    </row>
    <row r="3" spans="1:16" ht="13.5" thickBot="1" x14ac:dyDescent="0.25">
      <c r="A3" s="204"/>
      <c r="B3" s="196"/>
      <c r="C3" s="196"/>
      <c r="D3" s="196"/>
      <c r="E3" s="196"/>
      <c r="F3" s="201"/>
      <c r="G3" s="196"/>
      <c r="H3" s="196"/>
      <c r="I3" s="205"/>
      <c r="J3" s="205"/>
      <c r="K3" s="205"/>
      <c r="L3" s="196"/>
      <c r="M3" s="196"/>
      <c r="N3" s="196"/>
      <c r="O3" s="196"/>
      <c r="P3" s="166"/>
    </row>
    <row r="4" spans="1:16" ht="13.5" thickBot="1" x14ac:dyDescent="0.25">
      <c r="A4" s="204"/>
      <c r="B4" s="4" t="s">
        <v>33</v>
      </c>
      <c r="C4" s="63" t="s">
        <v>144</v>
      </c>
      <c r="D4" s="196"/>
      <c r="E4" s="722" t="s">
        <v>43</v>
      </c>
      <c r="F4" s="723"/>
      <c r="G4" s="724"/>
      <c r="H4" s="196"/>
      <c r="I4" s="728"/>
      <c r="J4" s="728"/>
      <c r="K4" s="728"/>
      <c r="L4" s="728"/>
      <c r="M4" s="196"/>
      <c r="N4" s="196"/>
      <c r="O4" s="202"/>
      <c r="P4" s="166"/>
    </row>
    <row r="5" spans="1:16" ht="13.5" thickBot="1" x14ac:dyDescent="0.25">
      <c r="A5" s="204"/>
      <c r="B5" s="196"/>
      <c r="C5" s="196"/>
      <c r="D5" s="196"/>
      <c r="E5" s="4" t="s">
        <v>30</v>
      </c>
      <c r="F5" s="60"/>
      <c r="G5" s="63">
        <v>77</v>
      </c>
      <c r="H5" s="196"/>
      <c r="I5" s="729"/>
      <c r="J5" s="729"/>
      <c r="K5" s="729"/>
      <c r="L5" s="161"/>
      <c r="M5" s="196"/>
      <c r="N5" s="196"/>
      <c r="O5" s="202"/>
      <c r="P5" s="166"/>
    </row>
    <row r="6" spans="1:16" ht="13.5" thickBot="1" x14ac:dyDescent="0.25">
      <c r="A6" s="204"/>
      <c r="B6" s="4" t="s">
        <v>35</v>
      </c>
      <c r="C6" s="63">
        <v>400</v>
      </c>
      <c r="D6" s="196"/>
      <c r="E6" s="196"/>
      <c r="F6" s="201"/>
      <c r="G6" s="201"/>
      <c r="H6" s="196"/>
      <c r="I6" s="168"/>
      <c r="J6" s="168"/>
      <c r="K6" s="168"/>
      <c r="L6" s="168"/>
      <c r="M6" s="196"/>
      <c r="N6" s="196"/>
      <c r="O6" s="196"/>
      <c r="P6" s="166"/>
    </row>
    <row r="7" spans="1:16" ht="13.5" thickBot="1" x14ac:dyDescent="0.25">
      <c r="A7" s="204"/>
      <c r="B7" s="74" t="s">
        <v>150</v>
      </c>
      <c r="C7" s="63">
        <v>15</v>
      </c>
      <c r="D7" s="196"/>
      <c r="E7" s="168"/>
      <c r="F7" s="168"/>
      <c r="G7" s="168"/>
      <c r="H7" s="196"/>
      <c r="I7" s="196"/>
      <c r="J7" s="196"/>
      <c r="K7" s="196"/>
      <c r="L7" s="196"/>
      <c r="M7" s="196"/>
      <c r="N7" s="168"/>
      <c r="O7" s="168"/>
      <c r="P7" s="166"/>
    </row>
    <row r="8" spans="1:16" ht="13.5" thickBot="1" x14ac:dyDescent="0.25">
      <c r="A8" s="204"/>
      <c r="B8" s="74" t="s">
        <v>149</v>
      </c>
      <c r="C8" s="63">
        <v>0</v>
      </c>
      <c r="D8" s="196"/>
      <c r="E8" s="168"/>
      <c r="F8" s="168"/>
      <c r="G8" s="168"/>
      <c r="H8" s="196"/>
      <c r="I8" s="168"/>
      <c r="J8" s="168"/>
      <c r="K8" s="168"/>
      <c r="L8" s="168"/>
      <c r="M8" s="196"/>
      <c r="N8" s="168"/>
      <c r="O8" s="168"/>
      <c r="P8" s="223"/>
    </row>
    <row r="9" spans="1:16" ht="13.5" thickBot="1" x14ac:dyDescent="0.25">
      <c r="A9" s="204"/>
      <c r="B9" s="74" t="s">
        <v>151</v>
      </c>
      <c r="C9" s="585">
        <v>0</v>
      </c>
      <c r="D9" s="196"/>
      <c r="E9" s="616" t="s">
        <v>22</v>
      </c>
      <c r="F9" s="617"/>
      <c r="G9" s="618"/>
      <c r="H9" s="196"/>
      <c r="I9" s="725" t="s">
        <v>19</v>
      </c>
      <c r="J9" s="726"/>
      <c r="K9" s="726"/>
      <c r="L9" s="727"/>
      <c r="M9" s="196"/>
      <c r="N9" s="196"/>
      <c r="O9" s="196"/>
      <c r="P9" s="166"/>
    </row>
    <row r="10" spans="1:16" ht="13.5" thickBot="1" x14ac:dyDescent="0.25">
      <c r="A10" s="204"/>
      <c r="B10" s="74" t="s">
        <v>152</v>
      </c>
      <c r="C10" s="63">
        <v>0</v>
      </c>
      <c r="D10" s="196"/>
      <c r="E10" s="24" t="str">
        <f>IF(C4=54130, "Inboard Fuel (gal) =","Main Fuel (gal)       =")</f>
        <v>Main Fuel (gal)       =</v>
      </c>
      <c r="F10" s="61"/>
      <c r="G10" s="64">
        <v>20</v>
      </c>
      <c r="H10" s="196"/>
      <c r="I10" s="77" t="s">
        <v>144</v>
      </c>
      <c r="J10" s="311">
        <f t="shared" ref="J10:J11" si="0">IF(I10="","",L10/K10)</f>
        <v>32.509999102817154</v>
      </c>
      <c r="K10" s="76">
        <v>2229.1999999999998</v>
      </c>
      <c r="L10" s="78">
        <v>72471.289999999994</v>
      </c>
      <c r="M10" s="196"/>
      <c r="N10" s="168"/>
      <c r="O10" s="168"/>
      <c r="P10" s="166"/>
    </row>
    <row r="11" spans="1:16" ht="13.5" thickBot="1" x14ac:dyDescent="0.25">
      <c r="A11" s="204"/>
      <c r="B11" s="13" t="s">
        <v>36</v>
      </c>
      <c r="C11" s="63">
        <v>68</v>
      </c>
      <c r="D11" s="196"/>
      <c r="E11" s="15" t="s">
        <v>27</v>
      </c>
      <c r="F11" s="25"/>
      <c r="G11" s="66">
        <v>2.5</v>
      </c>
      <c r="H11" s="196"/>
      <c r="I11" s="79"/>
      <c r="J11" s="312" t="str">
        <f t="shared" si="0"/>
        <v/>
      </c>
      <c r="K11" s="80"/>
      <c r="L11" s="81"/>
      <c r="M11" s="196"/>
      <c r="N11" s="168"/>
      <c r="O11" s="168"/>
      <c r="P11" s="219"/>
    </row>
    <row r="12" spans="1:16" ht="13.5" thickBot="1" x14ac:dyDescent="0.25">
      <c r="A12" s="204"/>
      <c r="B12" s="225"/>
      <c r="C12" s="196"/>
      <c r="D12" s="196"/>
      <c r="E12" s="196"/>
      <c r="F12" s="196"/>
      <c r="G12" s="168"/>
      <c r="H12" s="168"/>
      <c r="I12" s="168"/>
      <c r="J12" s="168"/>
      <c r="K12" s="168"/>
      <c r="L12" s="196"/>
      <c r="M12" s="158"/>
      <c r="N12" s="503"/>
      <c r="O12" s="503"/>
      <c r="P12" s="504"/>
    </row>
    <row r="13" spans="1:16" x14ac:dyDescent="0.2">
      <c r="A13" s="204"/>
      <c r="B13" s="90" t="s">
        <v>2</v>
      </c>
      <c r="C13" s="91" t="s">
        <v>0</v>
      </c>
      <c r="D13" s="91" t="s">
        <v>3</v>
      </c>
      <c r="E13" s="92" t="s">
        <v>1</v>
      </c>
      <c r="F13" s="196"/>
      <c r="G13" s="212"/>
      <c r="H13" s="731" t="s">
        <v>145</v>
      </c>
      <c r="I13" s="732"/>
      <c r="J13" s="732"/>
      <c r="K13" s="212"/>
      <c r="L13" s="196"/>
      <c r="M13" s="158"/>
      <c r="N13" s="631"/>
      <c r="O13" s="631"/>
      <c r="P13" s="224"/>
    </row>
    <row r="14" spans="1:16" x14ac:dyDescent="0.2">
      <c r="A14" s="204"/>
      <c r="B14" s="30" t="str">
        <f>C4</f>
        <v>N21RG</v>
      </c>
      <c r="C14" s="7"/>
      <c r="D14" s="26"/>
      <c r="E14" s="5"/>
      <c r="F14" s="196"/>
      <c r="G14" s="196"/>
      <c r="H14" s="196"/>
      <c r="I14" s="196"/>
      <c r="J14" s="196"/>
      <c r="K14" s="196"/>
      <c r="L14" s="196"/>
      <c r="M14" s="158"/>
      <c r="N14" s="192">
        <v>62</v>
      </c>
      <c r="O14" s="192">
        <v>2000</v>
      </c>
      <c r="P14" s="224"/>
    </row>
    <row r="15" spans="1:16" x14ac:dyDescent="0.2">
      <c r="A15" s="204"/>
      <c r="B15" s="1"/>
      <c r="C15" s="37"/>
      <c r="D15" s="28"/>
      <c r="E15" s="17"/>
      <c r="F15" s="196"/>
      <c r="G15" s="196"/>
      <c r="H15" s="196"/>
      <c r="I15" s="196"/>
      <c r="J15" s="196"/>
      <c r="K15" s="196"/>
      <c r="L15" s="196"/>
      <c r="M15" s="158"/>
      <c r="N15" s="193">
        <v>100</v>
      </c>
      <c r="O15" s="193">
        <v>2000</v>
      </c>
      <c r="P15" s="223"/>
    </row>
    <row r="16" spans="1:16" x14ac:dyDescent="0.2">
      <c r="A16" s="204"/>
      <c r="B16" s="1" t="s">
        <v>31</v>
      </c>
      <c r="C16" s="37">
        <f>IF(I10=C4,K10,K11)</f>
        <v>2229.1999999999998</v>
      </c>
      <c r="D16" s="28">
        <f>J10</f>
        <v>32.509999102817154</v>
      </c>
      <c r="E16" s="17">
        <f>IF(I10=C4,L10,L11)/1000</f>
        <v>72.471289999999996</v>
      </c>
      <c r="F16" s="196"/>
      <c r="G16" s="196"/>
      <c r="H16" s="196"/>
      <c r="I16" s="196"/>
      <c r="J16" s="196"/>
      <c r="K16" s="196"/>
      <c r="L16" s="196"/>
      <c r="M16" s="158"/>
      <c r="N16" s="193">
        <v>192</v>
      </c>
      <c r="O16" s="193">
        <v>3800</v>
      </c>
      <c r="P16" s="223"/>
    </row>
    <row r="17" spans="1:16" x14ac:dyDescent="0.2">
      <c r="A17" s="204"/>
      <c r="B17" s="1" t="s">
        <v>15</v>
      </c>
      <c r="C17" s="37">
        <f t="shared" ref="C17:C22" si="1">C6</f>
        <v>400</v>
      </c>
      <c r="D17" s="28">
        <v>36</v>
      </c>
      <c r="E17" s="17">
        <f t="shared" ref="E17:E22" si="2">IF(C17=0,0,C17*D17)/1000</f>
        <v>14.4</v>
      </c>
      <c r="F17" s="196"/>
      <c r="G17" s="196"/>
      <c r="H17" s="196"/>
      <c r="I17" s="196"/>
      <c r="J17" s="196"/>
      <c r="K17" s="196"/>
      <c r="L17" s="196"/>
      <c r="M17" s="158"/>
      <c r="N17" s="193">
        <v>163</v>
      </c>
      <c r="O17" s="193">
        <v>3800</v>
      </c>
      <c r="P17" s="223"/>
    </row>
    <row r="18" spans="1:16" x14ac:dyDescent="0.2">
      <c r="A18" s="204"/>
      <c r="B18" s="584" t="s">
        <v>146</v>
      </c>
      <c r="C18" s="37">
        <f t="shared" si="1"/>
        <v>15</v>
      </c>
      <c r="D18" s="28">
        <v>76</v>
      </c>
      <c r="E18" s="17">
        <f t="shared" si="2"/>
        <v>1.1399999999999999</v>
      </c>
      <c r="F18" s="196"/>
      <c r="G18" s="196"/>
      <c r="H18" s="196"/>
      <c r="I18" s="196"/>
      <c r="J18" s="196"/>
      <c r="K18" s="196"/>
      <c r="L18" s="196"/>
      <c r="M18" s="158"/>
      <c r="N18" s="193"/>
      <c r="O18" s="193"/>
      <c r="P18" s="223"/>
    </row>
    <row r="19" spans="1:16" x14ac:dyDescent="0.2">
      <c r="A19" s="204"/>
      <c r="B19" s="584" t="s">
        <v>147</v>
      </c>
      <c r="C19" s="37">
        <f t="shared" si="1"/>
        <v>0</v>
      </c>
      <c r="D19" s="28">
        <v>106</v>
      </c>
      <c r="E19" s="17">
        <f t="shared" si="2"/>
        <v>0</v>
      </c>
      <c r="F19" s="196"/>
      <c r="G19" s="196"/>
      <c r="H19" s="196"/>
      <c r="I19" s="196"/>
      <c r="J19" s="196"/>
      <c r="K19" s="196"/>
      <c r="L19" s="196"/>
      <c r="M19" s="158"/>
      <c r="N19" s="193">
        <v>163</v>
      </c>
      <c r="O19" s="193">
        <v>3800</v>
      </c>
      <c r="P19" s="223"/>
    </row>
    <row r="20" spans="1:16" x14ac:dyDescent="0.2">
      <c r="A20" s="204"/>
      <c r="B20" s="584" t="s">
        <v>148</v>
      </c>
      <c r="C20" s="586">
        <f t="shared" si="1"/>
        <v>0</v>
      </c>
      <c r="D20" s="28">
        <v>133</v>
      </c>
      <c r="E20" s="17">
        <f t="shared" si="2"/>
        <v>0</v>
      </c>
      <c r="F20" s="196"/>
      <c r="G20" s="196"/>
      <c r="H20" s="196"/>
      <c r="I20" s="196"/>
      <c r="J20" s="196"/>
      <c r="K20" s="196"/>
      <c r="L20" s="196"/>
      <c r="M20" s="158"/>
      <c r="N20" s="193">
        <v>80.5</v>
      </c>
      <c r="O20" s="193">
        <v>2600</v>
      </c>
      <c r="P20" s="223"/>
    </row>
    <row r="21" spans="1:16" x14ac:dyDescent="0.2">
      <c r="A21" s="204"/>
      <c r="B21" s="36" t="s">
        <v>12</v>
      </c>
      <c r="C21" s="37">
        <f t="shared" si="1"/>
        <v>0</v>
      </c>
      <c r="D21" s="28">
        <v>-5.5</v>
      </c>
      <c r="E21" s="17">
        <f t="shared" si="2"/>
        <v>0</v>
      </c>
      <c r="F21" s="196"/>
      <c r="G21" s="196"/>
      <c r="H21" s="196"/>
      <c r="I21" s="196"/>
      <c r="J21" s="196"/>
      <c r="K21" s="196"/>
      <c r="L21" s="196"/>
      <c r="M21" s="158"/>
      <c r="N21" s="193">
        <v>62</v>
      </c>
      <c r="O21" s="193">
        <v>2000</v>
      </c>
      <c r="P21" s="223"/>
    </row>
    <row r="22" spans="1:16" x14ac:dyDescent="0.2">
      <c r="A22" s="204"/>
      <c r="B22" s="10" t="s">
        <v>13</v>
      </c>
      <c r="C22" s="37">
        <f t="shared" si="1"/>
        <v>68</v>
      </c>
      <c r="D22" s="28">
        <v>152</v>
      </c>
      <c r="E22" s="17">
        <f t="shared" si="2"/>
        <v>10.336</v>
      </c>
      <c r="F22" s="196"/>
      <c r="G22" s="196"/>
      <c r="H22" s="196"/>
      <c r="I22" s="196"/>
      <c r="J22" s="196"/>
      <c r="K22" s="196"/>
      <c r="L22" s="196"/>
      <c r="M22" s="158"/>
      <c r="N22" s="193"/>
      <c r="O22" s="193"/>
      <c r="P22" s="223"/>
    </row>
    <row r="23" spans="1:16" x14ac:dyDescent="0.2">
      <c r="A23" s="204"/>
      <c r="B23" s="93" t="s">
        <v>16</v>
      </c>
      <c r="C23" s="94">
        <f>IF(B14=0,0,SUM(C16:C22))</f>
        <v>2712.2</v>
      </c>
      <c r="D23" s="95">
        <f>(1000)*E23/C23</f>
        <v>36.261075879359936</v>
      </c>
      <c r="E23" s="96">
        <f>IF(B14="",0,SUM(E16:E22))</f>
        <v>98.347290000000001</v>
      </c>
      <c r="F23" s="196"/>
      <c r="G23" s="196"/>
      <c r="H23" s="196"/>
      <c r="I23" s="196"/>
      <c r="J23" s="196"/>
      <c r="K23" s="196"/>
      <c r="L23" s="196"/>
      <c r="M23" s="158"/>
      <c r="N23" s="220"/>
      <c r="O23" s="220"/>
      <c r="P23" s="223"/>
    </row>
    <row r="24" spans="1:16" x14ac:dyDescent="0.2">
      <c r="A24" s="204"/>
      <c r="B24" s="1" t="s">
        <v>32</v>
      </c>
      <c r="C24" s="19">
        <f>IF(B14="",0,G5*6)</f>
        <v>462</v>
      </c>
      <c r="D24" s="29">
        <v>48</v>
      </c>
      <c r="E24" s="17">
        <f>IF(C24=0,0,C24*D24)/1000</f>
        <v>22.175999999999998</v>
      </c>
      <c r="F24" s="196"/>
      <c r="G24" s="196"/>
      <c r="H24" s="196"/>
      <c r="I24" s="196"/>
      <c r="J24" s="196"/>
      <c r="K24" s="196"/>
      <c r="L24" s="196"/>
      <c r="M24" s="158"/>
      <c r="N24" s="193"/>
      <c r="O24" s="193"/>
      <c r="P24" s="166"/>
    </row>
    <row r="25" spans="1:16" x14ac:dyDescent="0.2">
      <c r="A25" s="204"/>
      <c r="B25" s="1"/>
      <c r="C25" s="19"/>
      <c r="D25" s="22"/>
      <c r="E25" s="23"/>
      <c r="F25" s="196"/>
      <c r="G25" s="196"/>
      <c r="H25" s="196"/>
      <c r="I25" s="196"/>
      <c r="J25" s="196"/>
      <c r="K25" s="196"/>
      <c r="L25" s="196"/>
      <c r="M25" s="158"/>
      <c r="N25" s="193">
        <f>E27</f>
        <v>119.80329</v>
      </c>
      <c r="O25" s="193">
        <f>C27</f>
        <v>3159.2</v>
      </c>
      <c r="P25" s="166"/>
    </row>
    <row r="26" spans="1:16" x14ac:dyDescent="0.2">
      <c r="A26" s="204"/>
      <c r="B26" s="10" t="s">
        <v>28</v>
      </c>
      <c r="C26" s="57">
        <f>IF(B14="",0,G11*6)</f>
        <v>15</v>
      </c>
      <c r="D26" s="29">
        <v>48</v>
      </c>
      <c r="E26" s="17">
        <f>IF(C26=0,0,C26*D26)*-1/1000</f>
        <v>-0.72</v>
      </c>
      <c r="F26" s="196"/>
      <c r="G26" s="196"/>
      <c r="H26" s="196"/>
      <c r="I26" s="196"/>
      <c r="J26" s="196"/>
      <c r="K26" s="196"/>
      <c r="L26" s="196"/>
      <c r="M26" s="158"/>
      <c r="N26" s="193">
        <f>E30</f>
        <v>114.04329</v>
      </c>
      <c r="O26" s="193">
        <f>C30</f>
        <v>3039.2</v>
      </c>
      <c r="P26" s="166"/>
    </row>
    <row r="27" spans="1:16" x14ac:dyDescent="0.2">
      <c r="A27" s="204"/>
      <c r="B27" s="93" t="s">
        <v>4</v>
      </c>
      <c r="C27" s="103">
        <f>IF(B14="",0,SUM(C23:C24)-C26)</f>
        <v>3159.2</v>
      </c>
      <c r="D27" s="95">
        <f>(1000)*E27/C27</f>
        <v>37.922034059255509</v>
      </c>
      <c r="E27" s="96">
        <f>IF(B14="",0,SUM(E23:E26))</f>
        <v>119.80329</v>
      </c>
      <c r="F27" s="196"/>
      <c r="G27" s="196"/>
      <c r="H27" s="196"/>
      <c r="I27" s="196"/>
      <c r="J27" s="196"/>
      <c r="K27" s="196"/>
      <c r="L27" s="196"/>
      <c r="M27" s="158"/>
      <c r="N27" s="193"/>
      <c r="O27" s="193"/>
      <c r="P27" s="166"/>
    </row>
    <row r="28" spans="1:16" x14ac:dyDescent="0.2">
      <c r="A28" s="204"/>
      <c r="B28" s="1"/>
      <c r="C28" s="19"/>
      <c r="D28" s="29"/>
      <c r="E28" s="23"/>
      <c r="F28" s="196"/>
      <c r="G28" s="196"/>
      <c r="H28" s="196"/>
      <c r="I28" s="196"/>
      <c r="J28" s="196"/>
      <c r="K28" s="196"/>
      <c r="L28" s="196"/>
      <c r="M28" s="158"/>
      <c r="N28" s="193">
        <f>J10</f>
        <v>32.509999102817154</v>
      </c>
      <c r="O28" s="193">
        <f>C16</f>
        <v>2229.1999999999998</v>
      </c>
      <c r="P28" s="166"/>
    </row>
    <row r="29" spans="1:16" x14ac:dyDescent="0.2">
      <c r="A29" s="204"/>
      <c r="B29" s="10" t="s">
        <v>14</v>
      </c>
      <c r="C29" s="19">
        <f>IF(B14="",0,(G10*6))</f>
        <v>120</v>
      </c>
      <c r="D29" s="29">
        <v>48</v>
      </c>
      <c r="E29" s="17">
        <f>IF(C29=0,0,C29*D29)*-1/1000</f>
        <v>-5.76</v>
      </c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66"/>
    </row>
    <row r="30" spans="1:16" ht="13.5" thickBot="1" x14ac:dyDescent="0.25">
      <c r="A30" s="204"/>
      <c r="B30" s="93" t="s">
        <v>5</v>
      </c>
      <c r="C30" s="94">
        <f>IF(B14="",0,C27-C29)</f>
        <v>3039.2</v>
      </c>
      <c r="D30" s="95">
        <f>(1000)*E30/C30</f>
        <v>37.524114898657544</v>
      </c>
      <c r="E30" s="96">
        <f>IF(B14="",0,E27+E29)</f>
        <v>114.04329</v>
      </c>
      <c r="F30" s="196"/>
      <c r="G30" s="196"/>
      <c r="H30" s="196"/>
      <c r="I30" s="196"/>
      <c r="J30" s="196"/>
      <c r="K30" s="196"/>
      <c r="L30" s="196"/>
      <c r="M30" s="196"/>
      <c r="N30" s="193"/>
      <c r="O30" s="193"/>
      <c r="P30" s="191"/>
    </row>
    <row r="31" spans="1:16" x14ac:dyDescent="0.2">
      <c r="A31" s="204"/>
      <c r="B31" s="249" t="s">
        <v>72</v>
      </c>
      <c r="C31" s="272">
        <f>O19-C16</f>
        <v>1570.8000000000002</v>
      </c>
      <c r="D31" s="288"/>
      <c r="E31" s="289"/>
      <c r="F31" s="196"/>
      <c r="G31" s="196"/>
      <c r="H31" s="196"/>
      <c r="I31" s="196"/>
      <c r="J31" s="196"/>
      <c r="K31" s="196"/>
      <c r="L31" s="196"/>
      <c r="M31" s="196"/>
      <c r="N31" s="193"/>
      <c r="O31" s="193"/>
      <c r="P31" s="191"/>
    </row>
    <row r="32" spans="1:16" x14ac:dyDescent="0.2">
      <c r="A32" s="204"/>
      <c r="B32" s="273" t="s">
        <v>93</v>
      </c>
      <c r="C32" s="271">
        <f>(O19-C16)-C24</f>
        <v>1108.8000000000002</v>
      </c>
      <c r="D32" s="290"/>
      <c r="E32" s="291"/>
      <c r="F32" s="196"/>
      <c r="G32" s="196"/>
      <c r="H32" s="196"/>
      <c r="I32" s="196"/>
      <c r="J32" s="196"/>
      <c r="K32" s="196"/>
      <c r="L32" s="196"/>
      <c r="M32" s="196"/>
      <c r="N32" s="168"/>
      <c r="O32" s="168"/>
      <c r="P32" s="166"/>
    </row>
    <row r="33" spans="1:16" ht="13.5" thickBot="1" x14ac:dyDescent="0.25">
      <c r="A33" s="204"/>
      <c r="B33" s="282" t="s">
        <v>73</v>
      </c>
      <c r="C33" s="283">
        <f>IF(C31="","",C31-(C24+C6+C7+C8+C9+C10+C11))</f>
        <v>625.80000000000018</v>
      </c>
      <c r="D33" s="632" t="str">
        <f>IF(C33&lt;0,"&lt;&lt;&lt;&lt;&lt;&lt;  Over Loaded! ","")</f>
        <v/>
      </c>
      <c r="E33" s="633"/>
      <c r="F33" s="196"/>
      <c r="G33" s="196"/>
      <c r="H33" s="196"/>
      <c r="I33" s="196"/>
      <c r="J33" s="196"/>
      <c r="K33" s="196"/>
      <c r="L33" s="196"/>
      <c r="M33" s="196"/>
      <c r="N33" s="331"/>
      <c r="O33" s="196"/>
      <c r="P33" s="166"/>
    </row>
    <row r="34" spans="1:16" ht="13.5" thickBot="1" x14ac:dyDescent="0.25">
      <c r="A34" s="204"/>
      <c r="B34" s="135"/>
      <c r="C34" s="135"/>
      <c r="D34" s="135"/>
      <c r="E34" s="135"/>
      <c r="F34" s="136"/>
      <c r="G34" s="151"/>
      <c r="H34" s="172"/>
      <c r="I34" s="308" t="s">
        <v>79</v>
      </c>
      <c r="J34" s="180"/>
      <c r="K34" s="164"/>
      <c r="L34" s="242"/>
      <c r="M34" s="242"/>
      <c r="N34" s="168"/>
      <c r="O34" s="196"/>
      <c r="P34" s="166"/>
    </row>
    <row r="35" spans="1:16" ht="13.5" thickBot="1" x14ac:dyDescent="0.25">
      <c r="A35" s="204"/>
      <c r="B35" s="615"/>
      <c r="C35" s="615"/>
      <c r="D35" s="139"/>
      <c r="E35" s="142"/>
      <c r="F35" s="135"/>
      <c r="G35" s="153"/>
      <c r="H35" s="153"/>
      <c r="I35" s="296">
        <v>25</v>
      </c>
      <c r="J35" s="153"/>
      <c r="K35" s="168"/>
      <c r="L35" s="242"/>
      <c r="M35" s="242"/>
      <c r="N35" s="193">
        <v>612</v>
      </c>
      <c r="O35" s="196"/>
      <c r="P35" s="166"/>
    </row>
    <row r="36" spans="1:16" x14ac:dyDescent="0.2">
      <c r="A36" s="204"/>
      <c r="B36" s="143"/>
      <c r="C36" s="144"/>
      <c r="D36" s="138"/>
      <c r="E36" s="139"/>
      <c r="F36" s="135"/>
      <c r="G36" s="299" t="s">
        <v>71</v>
      </c>
      <c r="H36" s="141">
        <v>210</v>
      </c>
      <c r="I36" s="295" t="s">
        <v>74</v>
      </c>
      <c r="J36" s="141"/>
      <c r="K36" s="187"/>
      <c r="L36" s="243"/>
      <c r="M36" s="243"/>
      <c r="N36" s="220">
        <v>94</v>
      </c>
      <c r="O36" s="196"/>
      <c r="P36" s="166"/>
    </row>
    <row r="37" spans="1:16" x14ac:dyDescent="0.2">
      <c r="A37" s="613" t="s">
        <v>78</v>
      </c>
      <c r="B37" s="614"/>
      <c r="C37" s="194" t="str">
        <f>IF(B35="","",B35*ABS(SIN(RADIANS(B34-(C33*10)))))</f>
        <v/>
      </c>
      <c r="D37" s="137" t="s">
        <v>75</v>
      </c>
      <c r="E37" s="194" t="str">
        <f>IF(D35="","",D35*ABS(SIN(RADIANS(B34-(C33*10)))))</f>
        <v/>
      </c>
      <c r="F37" s="139"/>
      <c r="G37" s="299" t="s">
        <v>70</v>
      </c>
      <c r="H37" s="141">
        <v>10</v>
      </c>
      <c r="I37" s="295" t="s">
        <v>76</v>
      </c>
      <c r="J37" s="141">
        <v>15</v>
      </c>
      <c r="K37" s="302"/>
      <c r="L37" s="140"/>
      <c r="M37" s="140"/>
      <c r="N37" s="193">
        <f>IF(N35=0,0,N35*N36)</f>
        <v>57528</v>
      </c>
      <c r="O37" s="168"/>
      <c r="P37" s="166"/>
    </row>
    <row r="38" spans="1:16" x14ac:dyDescent="0.2">
      <c r="A38" s="613" t="s">
        <v>77</v>
      </c>
      <c r="B38" s="614"/>
      <c r="C38" s="194" t="str">
        <f>IF(D34="","",B35*ABS(SIN(RADIANS(B34-(C33*10)))))</f>
        <v/>
      </c>
      <c r="D38" s="195" t="s">
        <v>75</v>
      </c>
      <c r="E38" s="194" t="str">
        <f>IF(D34="","",IF(D35="",B35*ABS(SIN(RADIANS(D34-(C33*10)))),D35*ABS(SIN(RADIANS(D34-(C33*10))))))</f>
        <v/>
      </c>
      <c r="F38" s="143"/>
      <c r="G38" s="135"/>
      <c r="H38" s="153"/>
      <c r="I38" s="153"/>
      <c r="J38" s="153"/>
      <c r="K38" s="153"/>
      <c r="L38" s="148"/>
      <c r="M38" s="148"/>
      <c r="N38" s="154"/>
      <c r="O38" s="152"/>
      <c r="P38" s="166"/>
    </row>
    <row r="39" spans="1:16" x14ac:dyDescent="0.2">
      <c r="A39" s="596"/>
      <c r="B39" s="597"/>
      <c r="C39" s="597"/>
      <c r="D39" s="597"/>
      <c r="E39" s="597"/>
      <c r="F39" s="598"/>
      <c r="G39" s="730"/>
      <c r="H39" s="730"/>
      <c r="I39" s="599"/>
      <c r="J39" s="600"/>
      <c r="K39" s="599"/>
      <c r="L39" s="601"/>
      <c r="M39" s="602"/>
      <c r="N39" s="603"/>
      <c r="O39" s="603"/>
      <c r="P39" s="604"/>
    </row>
    <row r="40" spans="1:16" x14ac:dyDescent="0.2">
      <c r="A40" s="592"/>
      <c r="B40" s="587"/>
      <c r="C40" s="587"/>
      <c r="D40" s="587"/>
      <c r="E40" s="587"/>
      <c r="F40" s="588"/>
      <c r="G40" s="719"/>
      <c r="H40" s="719"/>
      <c r="I40" s="589"/>
      <c r="J40" s="590"/>
      <c r="K40" s="589"/>
      <c r="L40" s="593"/>
      <c r="M40" s="591"/>
      <c r="N40" s="594"/>
      <c r="O40" s="595"/>
      <c r="P40" s="592"/>
    </row>
    <row r="41" spans="1:16" x14ac:dyDescent="0.2">
      <c r="A41" s="592"/>
      <c r="B41" s="587"/>
      <c r="C41" s="587"/>
      <c r="D41" s="587"/>
      <c r="E41" s="587"/>
      <c r="F41" s="592"/>
      <c r="G41" s="592"/>
      <c r="H41" s="592"/>
      <c r="I41" s="592"/>
      <c r="J41" s="592"/>
      <c r="K41" s="592"/>
      <c r="L41" s="592"/>
      <c r="M41" s="592"/>
      <c r="N41" s="592"/>
      <c r="O41" s="592"/>
      <c r="P41" s="592"/>
    </row>
  </sheetData>
  <mergeCells count="14">
    <mergeCell ref="G40:H40"/>
    <mergeCell ref="B35:C35"/>
    <mergeCell ref="B2:O2"/>
    <mergeCell ref="E4:G4"/>
    <mergeCell ref="I9:L9"/>
    <mergeCell ref="E9:G9"/>
    <mergeCell ref="N13:O13"/>
    <mergeCell ref="I4:L4"/>
    <mergeCell ref="I5:K5"/>
    <mergeCell ref="D33:E33"/>
    <mergeCell ref="G39:H39"/>
    <mergeCell ref="H13:J13"/>
    <mergeCell ref="A37:B37"/>
    <mergeCell ref="A38:B38"/>
  </mergeCells>
  <phoneticPr fontId="5" type="noConversion"/>
  <dataValidations count="1">
    <dataValidation type="list" allowBlank="1" showInputMessage="1" showErrorMessage="1" sqref="C4" xr:uid="{00000000-0002-0000-0C00-000000000000}">
      <formula1>$I$10:$I$11</formula1>
    </dataValidation>
  </dataValidations>
  <pageMargins left="0.25" right="0.25" top="0.75" bottom="0.75" header="0.3" footer="0.3"/>
  <pageSetup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A1:P39"/>
  <sheetViews>
    <sheetView zoomScale="90" zoomScaleNormal="90" workbookViewId="0">
      <selection sqref="A1:A1048576"/>
    </sheetView>
  </sheetViews>
  <sheetFormatPr defaultRowHeight="12.75" x14ac:dyDescent="0.2"/>
  <cols>
    <col min="1" max="1" width="2.7109375" customWidth="1"/>
    <col min="2" max="2" width="21.5703125" customWidth="1"/>
    <col min="3" max="4" width="9.28515625" bestFit="1" customWidth="1"/>
    <col min="5" max="5" width="10.140625" bestFit="1" customWidth="1"/>
    <col min="7" max="7" width="14.85546875" customWidth="1"/>
    <col min="9" max="9" width="10" bestFit="1" customWidth="1"/>
    <col min="10" max="10" width="10" customWidth="1"/>
    <col min="11" max="11" width="9" customWidth="1"/>
    <col min="12" max="12" width="9.85546875" customWidth="1"/>
    <col min="13" max="13" width="2.7109375" customWidth="1"/>
    <col min="14" max="14" width="9.85546875" customWidth="1"/>
    <col min="15" max="15" width="7.7109375" bestFit="1" customWidth="1"/>
    <col min="16" max="16" width="2.7109375" customWidth="1"/>
  </cols>
  <sheetData>
    <row r="1" spans="1:16" ht="13.5" thickBot="1" x14ac:dyDescent="0.25">
      <c r="A1" s="206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9"/>
    </row>
    <row r="2" spans="1:16" ht="13.5" thickBot="1" x14ac:dyDescent="0.25">
      <c r="A2" s="204"/>
      <c r="B2" s="619" t="s">
        <v>41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1"/>
      <c r="P2" s="166"/>
    </row>
    <row r="3" spans="1:16" ht="13.5" thickBot="1" x14ac:dyDescent="0.25">
      <c r="A3" s="204"/>
      <c r="B3" s="196"/>
      <c r="C3" s="196"/>
      <c r="D3" s="196"/>
      <c r="E3" s="196"/>
      <c r="F3" s="201"/>
      <c r="G3" s="196"/>
      <c r="H3" s="196"/>
      <c r="I3" s="205"/>
      <c r="J3" s="205"/>
      <c r="K3" s="205"/>
      <c r="L3" s="196"/>
      <c r="M3" s="196"/>
      <c r="N3" s="196"/>
      <c r="O3" s="196"/>
      <c r="P3" s="166"/>
    </row>
    <row r="4" spans="1:16" ht="13.5" thickBot="1" x14ac:dyDescent="0.25">
      <c r="A4" s="204"/>
      <c r="B4" s="4" t="s">
        <v>8</v>
      </c>
      <c r="C4" s="63">
        <v>54130</v>
      </c>
      <c r="D4" s="196"/>
      <c r="E4" s="663" t="s">
        <v>45</v>
      </c>
      <c r="F4" s="620"/>
      <c r="G4" s="621"/>
      <c r="H4" s="196"/>
      <c r="I4" s="625" t="s">
        <v>40</v>
      </c>
      <c r="J4" s="660"/>
      <c r="K4" s="626"/>
      <c r="L4" s="627"/>
      <c r="M4" s="196"/>
      <c r="N4" s="196"/>
      <c r="O4" s="202"/>
      <c r="P4" s="166"/>
    </row>
    <row r="5" spans="1:16" ht="13.5" thickBot="1" x14ac:dyDescent="0.25">
      <c r="A5" s="204"/>
      <c r="B5" s="196"/>
      <c r="C5" s="196"/>
      <c r="D5" s="196"/>
      <c r="E5" s="4" t="str">
        <f>"Inboard Fuel (gal) ="</f>
        <v>Inboard Fuel (gal) =</v>
      </c>
      <c r="F5" s="14"/>
      <c r="G5" s="63" t="str">
        <f>"70"</f>
        <v>70</v>
      </c>
      <c r="H5" s="196"/>
      <c r="I5" s="733" t="str">
        <f>"Main Fuel (gal)       ="</f>
        <v>Main Fuel (gal)       =</v>
      </c>
      <c r="J5" s="734"/>
      <c r="K5" s="735"/>
      <c r="L5" s="65">
        <v>60</v>
      </c>
      <c r="M5" s="196"/>
      <c r="N5" s="196"/>
      <c r="O5" s="202"/>
      <c r="P5" s="166"/>
    </row>
    <row r="6" spans="1:16" ht="13.5" thickBot="1" x14ac:dyDescent="0.25">
      <c r="A6" s="204"/>
      <c r="B6" s="4" t="str">
        <f>"Pilot &amp; Front Pax   = "</f>
        <v xml:space="preserve">Pilot &amp; Front Pax   = </v>
      </c>
      <c r="C6" s="63">
        <v>300</v>
      </c>
      <c r="D6" s="196"/>
      <c r="E6" s="15" t="str">
        <f>"Outboard Fuel (gal) ="</f>
        <v>Outboard Fuel (gal) =</v>
      </c>
      <c r="F6" s="16"/>
      <c r="G6" s="63">
        <f>IF(C4=I10,62,IF(C4=I9,70,IF(C4=I11,85,0)))</f>
        <v>70</v>
      </c>
      <c r="H6" s="196"/>
      <c r="I6" s="666" t="str">
        <f>"Aux Fuel (gal)          ="</f>
        <v>Aux Fuel (gal)          =</v>
      </c>
      <c r="J6" s="688"/>
      <c r="K6" s="667"/>
      <c r="L6" s="62">
        <v>50</v>
      </c>
      <c r="M6" s="196"/>
      <c r="N6" s="196"/>
      <c r="O6" s="196"/>
      <c r="P6" s="166"/>
    </row>
    <row r="7" spans="1:16" ht="13.5" thickBot="1" x14ac:dyDescent="0.25">
      <c r="A7" s="204"/>
      <c r="B7" s="13" t="str">
        <f>"Middle Row Pax    ="</f>
        <v>Middle Row Pax    =</v>
      </c>
      <c r="C7" s="63">
        <v>250</v>
      </c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66"/>
    </row>
    <row r="8" spans="1:16" ht="13.5" thickBot="1" x14ac:dyDescent="0.25">
      <c r="A8" s="204"/>
      <c r="B8" s="13" t="str">
        <f>"Rear Row Pax       ="</f>
        <v>Rear Row Pax       =</v>
      </c>
      <c r="C8" s="63"/>
      <c r="D8" s="196"/>
      <c r="E8" s="616" t="s">
        <v>22</v>
      </c>
      <c r="F8" s="617"/>
      <c r="G8" s="618"/>
      <c r="H8" s="196"/>
      <c r="I8" s="663" t="s">
        <v>19</v>
      </c>
      <c r="J8" s="620"/>
      <c r="K8" s="620"/>
      <c r="L8" s="621"/>
      <c r="M8" s="196"/>
      <c r="N8" s="196"/>
      <c r="O8" s="196"/>
      <c r="P8" s="223"/>
    </row>
    <row r="9" spans="1:16" ht="13.5" thickBot="1" x14ac:dyDescent="0.25">
      <c r="A9" s="204"/>
      <c r="B9" s="196"/>
      <c r="C9" s="196"/>
      <c r="D9" s="196"/>
      <c r="E9" s="4" t="str">
        <f>"Inboard Fuel (gal) ="</f>
        <v>Inboard Fuel (gal) =</v>
      </c>
      <c r="F9" s="3"/>
      <c r="G9" s="63">
        <v>25</v>
      </c>
      <c r="H9" s="196"/>
      <c r="I9" s="313">
        <v>54130</v>
      </c>
      <c r="J9" s="314">
        <f t="shared" ref="J9:J11" si="0">IF(I9="","",L9/K9)</f>
        <v>91.615987596899231</v>
      </c>
      <c r="K9" s="315">
        <v>3225</v>
      </c>
      <c r="L9" s="316">
        <v>295461.56</v>
      </c>
      <c r="M9" s="196"/>
      <c r="N9" s="631"/>
      <c r="O9" s="631"/>
      <c r="P9" s="166"/>
    </row>
    <row r="10" spans="1:16" ht="13.5" thickBot="1" x14ac:dyDescent="0.25">
      <c r="A10" s="204"/>
      <c r="B10" s="4" t="str">
        <f>"Forward Baggage   ="</f>
        <v>Forward Baggage   =</v>
      </c>
      <c r="C10" s="63">
        <v>0</v>
      </c>
      <c r="D10" s="196"/>
      <c r="E10" s="4" t="str">
        <f>"Outboard Fuel (gal) ="</f>
        <v>Outboard Fuel (gal) =</v>
      </c>
      <c r="F10" s="3"/>
      <c r="G10" s="63">
        <v>25</v>
      </c>
      <c r="H10" s="196"/>
      <c r="I10" s="87"/>
      <c r="J10" s="311" t="str">
        <f t="shared" si="0"/>
        <v/>
      </c>
      <c r="K10" s="76"/>
      <c r="L10" s="78"/>
      <c r="M10" s="196"/>
      <c r="N10" s="631"/>
      <c r="O10" s="631"/>
      <c r="P10" s="166"/>
    </row>
    <row r="11" spans="1:16" ht="13.5" thickBot="1" x14ac:dyDescent="0.25">
      <c r="A11" s="204"/>
      <c r="B11" s="4" t="str">
        <f>"Rear Baggage ="</f>
        <v>Rear Baggage =</v>
      </c>
      <c r="C11" s="63">
        <v>20</v>
      </c>
      <c r="D11" s="196"/>
      <c r="E11" s="4" t="str">
        <f>"Start/Taxi (gal)       ="</f>
        <v>Start/Taxi (gal)       =</v>
      </c>
      <c r="F11" s="3"/>
      <c r="G11" s="63">
        <v>2</v>
      </c>
      <c r="H11" s="196"/>
      <c r="I11" s="133"/>
      <c r="J11" s="312" t="str">
        <f t="shared" si="0"/>
        <v/>
      </c>
      <c r="K11" s="85"/>
      <c r="L11" s="86"/>
      <c r="M11" s="196"/>
      <c r="N11" s="151"/>
      <c r="O11" s="151"/>
      <c r="P11" s="191"/>
    </row>
    <row r="12" spans="1:16" x14ac:dyDescent="0.2">
      <c r="A12" s="204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226"/>
      <c r="P12" s="253"/>
    </row>
    <row r="13" spans="1:16" ht="13.5" thickBot="1" x14ac:dyDescent="0.25">
      <c r="A13" s="204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3">
        <v>100.5</v>
      </c>
      <c r="O13" s="193">
        <f>C17</f>
        <v>3225</v>
      </c>
      <c r="P13" s="253"/>
    </row>
    <row r="14" spans="1:16" ht="13.5" thickBot="1" x14ac:dyDescent="0.25">
      <c r="A14" s="204"/>
      <c r="B14" s="90" t="s">
        <v>2</v>
      </c>
      <c r="C14" s="91" t="s">
        <v>0</v>
      </c>
      <c r="D14" s="91" t="s">
        <v>3</v>
      </c>
      <c r="E14" s="92" t="s">
        <v>1</v>
      </c>
      <c r="F14" s="196"/>
      <c r="G14" s="212"/>
      <c r="H14" s="663" t="s">
        <v>18</v>
      </c>
      <c r="I14" s="621"/>
      <c r="J14" s="212"/>
      <c r="K14" s="212"/>
      <c r="L14" s="196"/>
      <c r="M14" s="196"/>
      <c r="N14" s="193">
        <v>85.7</v>
      </c>
      <c r="O14" s="193">
        <f>C17</f>
        <v>3225</v>
      </c>
      <c r="P14" s="253"/>
    </row>
    <row r="15" spans="1:16" x14ac:dyDescent="0.2">
      <c r="A15" s="204"/>
      <c r="B15" s="30">
        <f>IF(C4=I9,I9,IF(C4=I10,"See Other Chart",IF(C4=I11,"See Other Chart","")))</f>
        <v>54130</v>
      </c>
      <c r="C15" s="7"/>
      <c r="D15" s="12"/>
      <c r="E15" s="47"/>
      <c r="F15" s="196"/>
      <c r="G15" s="196"/>
      <c r="H15" s="196"/>
      <c r="I15" s="196"/>
      <c r="J15" s="196"/>
      <c r="K15" s="196"/>
      <c r="L15" s="196"/>
      <c r="M15" s="196"/>
      <c r="N15" s="193">
        <v>86</v>
      </c>
      <c r="O15" s="193">
        <v>3300</v>
      </c>
      <c r="P15" s="253"/>
    </row>
    <row r="16" spans="1:16" x14ac:dyDescent="0.2">
      <c r="A16" s="204"/>
      <c r="B16" s="1" t="str">
        <f>IF(C16=" "," ","Empty Weight")</f>
        <v xml:space="preserve"> </v>
      </c>
      <c r="C16" s="9" t="str">
        <f>IF(B15=N18,O18,IF(B15=N19,O19,IF(B15=N20,O20,IF(B15=N21,O21,IF(B15=N22,O22,IF(B15=N23,O23,IF(B15=N24,O24,IF(B15=N25,O25," "))))))))</f>
        <v xml:space="preserve"> </v>
      </c>
      <c r="D16" s="247" t="str">
        <f>IF(OR(E16="",E16=0)," ",E16/C16)</f>
        <v xml:space="preserve"> </v>
      </c>
      <c r="E16" s="254" t="str">
        <f>IF(B14=N18,#REF!,IF(B14=N19,#REF!,IF(B15=N20,#REF!,IF(B15=N21,#REF!,IF(B15=N22,#REF!,IF(B15=N23,#REF!,IF(B15=N24,#REF!,IF(B15=N25,#REF!,""))))))))</f>
        <v/>
      </c>
      <c r="F16" s="196"/>
      <c r="G16" s="196"/>
      <c r="H16" s="196"/>
      <c r="I16" s="196"/>
      <c r="J16" s="196"/>
      <c r="K16" s="196"/>
      <c r="L16" s="196"/>
      <c r="M16" s="196"/>
      <c r="N16" s="193">
        <v>87</v>
      </c>
      <c r="O16" s="193">
        <v>3450</v>
      </c>
      <c r="P16" s="251"/>
    </row>
    <row r="17" spans="1:16" x14ac:dyDescent="0.2">
      <c r="A17" s="204"/>
      <c r="B17" s="1" t="str">
        <f>IF(C17=" "," ","Empty Weight")</f>
        <v>Empty Weight</v>
      </c>
      <c r="C17" s="37">
        <f>IF(B15=I9,K9,0)</f>
        <v>3225</v>
      </c>
      <c r="D17" s="18">
        <f>IF(C17=0,0,(E17/C17))</f>
        <v>91.615987596899231</v>
      </c>
      <c r="E17" s="48">
        <f>IF(B15=I9,L9,0)</f>
        <v>295461.56</v>
      </c>
      <c r="F17" s="196"/>
      <c r="G17" s="196"/>
      <c r="H17" s="196"/>
      <c r="I17" s="196"/>
      <c r="J17" s="196"/>
      <c r="K17" s="196"/>
      <c r="L17" s="196"/>
      <c r="M17" s="196"/>
      <c r="N17" s="193">
        <v>88</v>
      </c>
      <c r="O17" s="193">
        <v>3600</v>
      </c>
      <c r="P17" s="251"/>
    </row>
    <row r="18" spans="1:16" x14ac:dyDescent="0.2">
      <c r="A18" s="204"/>
      <c r="B18" s="1" t="s">
        <v>15</v>
      </c>
      <c r="C18" s="37">
        <f>IF(C17=0,0,C6)</f>
        <v>300</v>
      </c>
      <c r="D18" s="18">
        <v>89</v>
      </c>
      <c r="E18" s="48">
        <f>IF(C18=0,0,C18*D18)</f>
        <v>26700</v>
      </c>
      <c r="F18" s="196"/>
      <c r="G18" s="196"/>
      <c r="H18" s="196"/>
      <c r="I18" s="196"/>
      <c r="J18" s="196"/>
      <c r="K18" s="196"/>
      <c r="L18" s="196"/>
      <c r="M18" s="196"/>
      <c r="N18" s="193">
        <v>89</v>
      </c>
      <c r="O18" s="193">
        <v>3750</v>
      </c>
      <c r="P18" s="252"/>
    </row>
    <row r="19" spans="1:16" x14ac:dyDescent="0.2">
      <c r="A19" s="204"/>
      <c r="B19" s="1" t="s">
        <v>10</v>
      </c>
      <c r="C19" s="37">
        <f>IF(C17=0,0,C7)</f>
        <v>250</v>
      </c>
      <c r="D19" s="18">
        <v>126</v>
      </c>
      <c r="E19" s="48">
        <f>IF(C19=0,0,C19*D19)</f>
        <v>31500</v>
      </c>
      <c r="F19" s="196"/>
      <c r="G19" s="196"/>
      <c r="H19" s="196"/>
      <c r="I19" s="196"/>
      <c r="J19" s="196"/>
      <c r="K19" s="196"/>
      <c r="L19" s="196"/>
      <c r="M19" s="196"/>
      <c r="N19" s="193">
        <v>90</v>
      </c>
      <c r="O19" s="193">
        <v>3910</v>
      </c>
      <c r="P19" s="252"/>
    </row>
    <row r="20" spans="1:16" x14ac:dyDescent="0.2">
      <c r="A20" s="204"/>
      <c r="B20" s="1" t="s">
        <v>11</v>
      </c>
      <c r="C20" s="37">
        <f>IF(C17=0,0,C8)</f>
        <v>0</v>
      </c>
      <c r="D20" s="18">
        <v>157</v>
      </c>
      <c r="E20" s="48">
        <f>IF(C20=0,0,C20*D20)</f>
        <v>0</v>
      </c>
      <c r="F20" s="196"/>
      <c r="G20" s="196"/>
      <c r="H20" s="196"/>
      <c r="I20" s="196"/>
      <c r="J20" s="196"/>
      <c r="K20" s="196"/>
      <c r="L20" s="196"/>
      <c r="M20" s="196"/>
      <c r="N20" s="220">
        <v>91</v>
      </c>
      <c r="O20" s="220">
        <v>4060</v>
      </c>
      <c r="P20" s="252"/>
    </row>
    <row r="21" spans="1:16" x14ac:dyDescent="0.2">
      <c r="A21" s="204"/>
      <c r="B21" s="10" t="s">
        <v>12</v>
      </c>
      <c r="C21" s="37">
        <f>IF(C17=0,0,C10)</f>
        <v>0</v>
      </c>
      <c r="D21" s="18">
        <v>10</v>
      </c>
      <c r="E21" s="48">
        <f>IF(C21=0,0,C21*D21)</f>
        <v>0</v>
      </c>
      <c r="F21" s="196"/>
      <c r="G21" s="196"/>
      <c r="H21" s="196"/>
      <c r="I21" s="196"/>
      <c r="J21" s="196"/>
      <c r="K21" s="196"/>
      <c r="L21" s="196"/>
      <c r="M21" s="196"/>
      <c r="N21" s="220">
        <v>92</v>
      </c>
      <c r="O21" s="220">
        <v>4210</v>
      </c>
      <c r="P21" s="252"/>
    </row>
    <row r="22" spans="1:16" x14ac:dyDescent="0.2">
      <c r="A22" s="204"/>
      <c r="B22" s="10" t="s">
        <v>13</v>
      </c>
      <c r="C22" s="37">
        <f>IF(C17=0,0,C11)</f>
        <v>20</v>
      </c>
      <c r="D22" s="18">
        <v>183</v>
      </c>
      <c r="E22" s="48">
        <f>IF(C22=0,0,C22*D22)</f>
        <v>3660</v>
      </c>
      <c r="F22" s="196"/>
      <c r="G22" s="196"/>
      <c r="H22" s="196"/>
      <c r="I22" s="196"/>
      <c r="J22" s="196"/>
      <c r="K22" s="196"/>
      <c r="L22" s="196"/>
      <c r="M22" s="196"/>
      <c r="N22" s="220">
        <v>93</v>
      </c>
      <c r="O22" s="220">
        <v>4390</v>
      </c>
      <c r="P22" s="252"/>
    </row>
    <row r="23" spans="1:16" x14ac:dyDescent="0.2">
      <c r="A23" s="204"/>
      <c r="B23" s="93" t="s">
        <v>23</v>
      </c>
      <c r="C23" s="94">
        <f>IF(B15="See Other Chart",0,SUM(C17:C22))</f>
        <v>3795</v>
      </c>
      <c r="D23" s="94">
        <f>IF(C23=0,0,E23/C23)</f>
        <v>94.155878787878791</v>
      </c>
      <c r="E23" s="102">
        <f>IF(B15="",0,SUM(E17:E22))</f>
        <v>357321.56</v>
      </c>
      <c r="F23" s="196"/>
      <c r="G23" s="196"/>
      <c r="H23" s="196"/>
      <c r="I23" s="196"/>
      <c r="J23" s="196"/>
      <c r="K23" s="196"/>
      <c r="L23" s="196"/>
      <c r="M23" s="196"/>
      <c r="N23" s="220">
        <v>94</v>
      </c>
      <c r="O23" s="220">
        <v>4525</v>
      </c>
      <c r="P23" s="191"/>
    </row>
    <row r="24" spans="1:16" x14ac:dyDescent="0.2">
      <c r="A24" s="204"/>
      <c r="B24" s="10" t="str">
        <f>"Inboard Fuel"</f>
        <v>Inboard Fuel</v>
      </c>
      <c r="C24" s="19">
        <f>IF(L5="",G5*6,L5*6)</f>
        <v>360</v>
      </c>
      <c r="D24" s="18">
        <v>113</v>
      </c>
      <c r="E24" s="48">
        <f>IF(C24=0,0,C24*D24)</f>
        <v>40680</v>
      </c>
      <c r="F24" s="196"/>
      <c r="G24" s="196"/>
      <c r="H24" s="196"/>
      <c r="I24" s="196"/>
      <c r="J24" s="196"/>
      <c r="K24" s="196"/>
      <c r="L24" s="196"/>
      <c r="M24" s="196"/>
      <c r="N24" s="220">
        <v>95</v>
      </c>
      <c r="O24" s="221">
        <v>4700</v>
      </c>
      <c r="P24" s="191"/>
    </row>
    <row r="25" spans="1:16" x14ac:dyDescent="0.2">
      <c r="A25" s="204"/>
      <c r="B25" s="1" t="str">
        <f>"Outboard Fuel"</f>
        <v>Outboard Fuel</v>
      </c>
      <c r="C25" s="19">
        <f>IF(L6="",G6*6,L6*6)</f>
        <v>300</v>
      </c>
      <c r="D25" s="19">
        <v>113</v>
      </c>
      <c r="E25" s="48">
        <f>IF(C25=0,0,C25*D25)</f>
        <v>33900</v>
      </c>
      <c r="F25" s="196"/>
      <c r="G25" s="196"/>
      <c r="H25" s="196"/>
      <c r="I25" s="196"/>
      <c r="J25" s="196"/>
      <c r="K25" s="196"/>
      <c r="L25" s="196"/>
      <c r="M25" s="196"/>
      <c r="N25" s="220">
        <v>96</v>
      </c>
      <c r="O25" s="221">
        <v>4840</v>
      </c>
      <c r="P25" s="191"/>
    </row>
    <row r="26" spans="1:16" x14ac:dyDescent="0.2">
      <c r="A26" s="204"/>
      <c r="B26" s="1"/>
      <c r="C26" s="68"/>
      <c r="D26" s="49"/>
      <c r="E26" s="41"/>
      <c r="F26" s="196"/>
      <c r="G26" s="196"/>
      <c r="H26" s="196"/>
      <c r="I26" s="196"/>
      <c r="J26" s="196"/>
      <c r="K26" s="196"/>
      <c r="L26" s="196"/>
      <c r="M26" s="196"/>
      <c r="N26" s="193">
        <v>97</v>
      </c>
      <c r="O26" s="193">
        <v>4990</v>
      </c>
      <c r="P26" s="191"/>
    </row>
    <row r="27" spans="1:16" x14ac:dyDescent="0.2">
      <c r="A27" s="204"/>
      <c r="B27" s="10" t="s">
        <v>28</v>
      </c>
      <c r="C27" s="67">
        <f>IF(B15="See Other Chart",0,G11*6)</f>
        <v>12</v>
      </c>
      <c r="D27" s="19">
        <f>IF(B15="See Other Chart",0,113)</f>
        <v>113</v>
      </c>
      <c r="E27" s="48">
        <f>IF(C27=0,0,C27*D27)*-1</f>
        <v>-1356</v>
      </c>
      <c r="F27" s="196"/>
      <c r="G27" s="196"/>
      <c r="H27" s="196"/>
      <c r="I27" s="196"/>
      <c r="J27" s="196"/>
      <c r="K27" s="196"/>
      <c r="L27" s="196"/>
      <c r="M27" s="196"/>
      <c r="N27" s="193">
        <v>98</v>
      </c>
      <c r="O27" s="193">
        <v>5100</v>
      </c>
      <c r="P27" s="191"/>
    </row>
    <row r="28" spans="1:16" x14ac:dyDescent="0.2">
      <c r="A28" s="204"/>
      <c r="B28" s="93" t="s">
        <v>4</v>
      </c>
      <c r="C28" s="94">
        <f>IF(B15="See Other Chart",0,SUM(C23:C25)-C27)</f>
        <v>4443</v>
      </c>
      <c r="D28" s="94">
        <f>IF(C28=0,0,E28/C28)</f>
        <v>97.209444069322529</v>
      </c>
      <c r="E28" s="102">
        <f>IF(B15="",0,SUM(E23:E25))</f>
        <v>431901.56</v>
      </c>
      <c r="F28" s="196"/>
      <c r="G28" s="196"/>
      <c r="H28" s="196"/>
      <c r="I28" s="196"/>
      <c r="J28" s="196"/>
      <c r="K28" s="196"/>
      <c r="L28" s="196"/>
      <c r="M28" s="377"/>
      <c r="N28" s="193">
        <v>99</v>
      </c>
      <c r="O28" s="193">
        <v>5200</v>
      </c>
      <c r="P28" s="166"/>
    </row>
    <row r="29" spans="1:16" x14ac:dyDescent="0.2">
      <c r="A29" s="204"/>
      <c r="B29" s="10" t="s">
        <v>14</v>
      </c>
      <c r="C29" s="19">
        <f>IF(C17=0,0,(G9+G10)*6)</f>
        <v>300</v>
      </c>
      <c r="D29" s="19">
        <f>IF(B15="See Other Chart",0,113)</f>
        <v>113</v>
      </c>
      <c r="E29" s="48">
        <f>IF(C29=0,0,C29*D29)*-1</f>
        <v>-33900</v>
      </c>
      <c r="F29" s="196"/>
      <c r="G29" s="196"/>
      <c r="H29" s="196"/>
      <c r="I29" s="196"/>
      <c r="J29" s="196"/>
      <c r="K29" s="196"/>
      <c r="L29" s="196"/>
      <c r="M29" s="377"/>
      <c r="N29" s="193">
        <v>100.5</v>
      </c>
      <c r="O29" s="193">
        <v>5200</v>
      </c>
      <c r="P29" s="166"/>
    </row>
    <row r="30" spans="1:16" ht="13.5" thickBot="1" x14ac:dyDescent="0.25">
      <c r="A30" s="204"/>
      <c r="B30" s="93" t="s">
        <v>5</v>
      </c>
      <c r="C30" s="94">
        <f>IF(C28=0,0,C28-(C27+C29))</f>
        <v>4131</v>
      </c>
      <c r="D30" s="94">
        <f>IF(C30=0,0,E30/C30)</f>
        <v>96.016838537884283</v>
      </c>
      <c r="E30" s="102">
        <f>IF(E28="","",E28+E27+E29)</f>
        <v>396645.56</v>
      </c>
      <c r="F30" s="196"/>
      <c r="G30" s="196"/>
      <c r="H30" s="196"/>
      <c r="I30" s="196"/>
      <c r="J30" s="196"/>
      <c r="K30" s="196"/>
      <c r="L30" s="196"/>
      <c r="M30" s="377"/>
      <c r="N30" s="193">
        <v>100.5</v>
      </c>
      <c r="O30" s="193">
        <f>C17</f>
        <v>3225</v>
      </c>
      <c r="P30" s="166"/>
    </row>
    <row r="31" spans="1:16" x14ac:dyDescent="0.2">
      <c r="A31" s="204"/>
      <c r="B31" s="249" t="s">
        <v>72</v>
      </c>
      <c r="C31" s="272">
        <f>O29-O14</f>
        <v>1975</v>
      </c>
      <c r="D31" s="288"/>
      <c r="E31" s="289"/>
      <c r="F31" s="196"/>
      <c r="G31" s="196"/>
      <c r="H31" s="196"/>
      <c r="I31" s="196"/>
      <c r="J31" s="196"/>
      <c r="K31" s="196"/>
      <c r="L31" s="196"/>
      <c r="M31" s="377"/>
      <c r="N31" s="193"/>
      <c r="O31" s="193"/>
      <c r="P31" s="166"/>
    </row>
    <row r="32" spans="1:16" ht="13.5" thickBot="1" x14ac:dyDescent="0.25">
      <c r="A32" s="204"/>
      <c r="B32" s="273" t="s">
        <v>93</v>
      </c>
      <c r="C32" s="271">
        <f>O29-O14-(C24+C25)</f>
        <v>1315</v>
      </c>
      <c r="D32" s="292"/>
      <c r="E32" s="293"/>
      <c r="F32" s="200"/>
      <c r="G32" s="151"/>
      <c r="H32" s="172"/>
      <c r="I32" s="308" t="s">
        <v>79</v>
      </c>
      <c r="J32" s="180"/>
      <c r="K32" s="164"/>
      <c r="L32" s="168"/>
      <c r="M32" s="379"/>
      <c r="N32" s="192">
        <f>D28</f>
        <v>97.209444069322529</v>
      </c>
      <c r="O32" s="192">
        <f>C28</f>
        <v>4443</v>
      </c>
      <c r="P32" s="166"/>
    </row>
    <row r="33" spans="1:16" ht="13.5" thickBot="1" x14ac:dyDescent="0.25">
      <c r="A33" s="204"/>
      <c r="B33" s="282" t="s">
        <v>73</v>
      </c>
      <c r="C33" s="283">
        <f>IF(C31="","",C31-(C24+C25+C6+C7+C8+C10+C11))</f>
        <v>745</v>
      </c>
      <c r="D33" s="632" t="str">
        <f>IF(C33&lt;0,"&lt;&lt;&lt;&lt;&lt;&lt;  Over Loaded! ","")</f>
        <v/>
      </c>
      <c r="E33" s="633"/>
      <c r="F33" s="200"/>
      <c r="G33" s="153"/>
      <c r="H33" s="153"/>
      <c r="I33" s="296">
        <v>25</v>
      </c>
      <c r="J33" s="153"/>
      <c r="K33" s="168"/>
      <c r="L33" s="196"/>
      <c r="M33" s="377"/>
      <c r="N33" s="192">
        <f>D30</f>
        <v>96.016838537884283</v>
      </c>
      <c r="O33" s="192">
        <f>C30</f>
        <v>4131</v>
      </c>
      <c r="P33" s="166"/>
    </row>
    <row r="34" spans="1:16" x14ac:dyDescent="0.2">
      <c r="A34" s="204"/>
      <c r="B34" s="135"/>
      <c r="C34" s="135"/>
      <c r="D34" s="135"/>
      <c r="E34" s="135"/>
      <c r="F34" s="136"/>
      <c r="G34" s="299" t="s">
        <v>71</v>
      </c>
      <c r="H34" s="141">
        <v>210</v>
      </c>
      <c r="I34" s="295" t="s">
        <v>74</v>
      </c>
      <c r="J34" s="141"/>
      <c r="K34" s="187"/>
      <c r="L34" s="242"/>
      <c r="M34" s="381"/>
      <c r="N34" s="192">
        <f>D23</f>
        <v>94.155878787878791</v>
      </c>
      <c r="O34" s="192">
        <f>C23</f>
        <v>3795</v>
      </c>
      <c r="P34" s="166"/>
    </row>
    <row r="35" spans="1:16" x14ac:dyDescent="0.2">
      <c r="A35" s="204"/>
      <c r="B35" s="135"/>
      <c r="C35" s="135"/>
      <c r="D35" s="135"/>
      <c r="E35" s="135"/>
      <c r="F35" s="135"/>
      <c r="G35" s="299" t="s">
        <v>70</v>
      </c>
      <c r="H35" s="141">
        <v>10</v>
      </c>
      <c r="I35" s="295" t="s">
        <v>76</v>
      </c>
      <c r="J35" s="141">
        <v>15</v>
      </c>
      <c r="K35" s="302"/>
      <c r="L35" s="242"/>
      <c r="M35" s="381"/>
      <c r="N35" s="192"/>
      <c r="O35" s="192"/>
      <c r="P35" s="166"/>
    </row>
    <row r="36" spans="1:16" x14ac:dyDescent="0.2">
      <c r="A36" s="204"/>
      <c r="B36" s="242"/>
      <c r="C36" s="242"/>
      <c r="D36" s="242"/>
      <c r="E36" s="242"/>
      <c r="F36" s="242"/>
      <c r="G36" s="135"/>
      <c r="H36" s="153"/>
      <c r="I36" s="153"/>
      <c r="J36" s="153"/>
      <c r="K36" s="153"/>
      <c r="L36" s="243"/>
      <c r="M36" s="382"/>
      <c r="N36" s="193">
        <f>D17</f>
        <v>91.615987596899231</v>
      </c>
      <c r="O36" s="193">
        <f>C17</f>
        <v>3225</v>
      </c>
      <c r="P36" s="166"/>
    </row>
    <row r="37" spans="1:16" x14ac:dyDescent="0.2">
      <c r="A37" s="204"/>
      <c r="B37" s="615"/>
      <c r="C37" s="615"/>
      <c r="D37" s="139"/>
      <c r="E37" s="142"/>
      <c r="F37" s="139"/>
      <c r="G37" s="613" t="s">
        <v>78</v>
      </c>
      <c r="H37" s="614"/>
      <c r="I37" s="194">
        <f>IF(H35="","",H35*ABS(SIN(RADIANS(H34-(I33*10)))))</f>
        <v>6.4278760968653925</v>
      </c>
      <c r="J37" s="137" t="s">
        <v>75</v>
      </c>
      <c r="K37" s="194">
        <f>IF(J35="","",J35*ABS(SIN(RADIANS(H34-(I33*10)))))</f>
        <v>9.6418141452980883</v>
      </c>
      <c r="L37" s="298"/>
      <c r="M37" s="383"/>
      <c r="N37" s="384"/>
      <c r="O37" s="380"/>
      <c r="P37" s="378"/>
    </row>
    <row r="38" spans="1:16" x14ac:dyDescent="0.2">
      <c r="A38" s="204"/>
      <c r="B38" s="153"/>
      <c r="C38" s="153"/>
      <c r="D38" s="153"/>
      <c r="E38" s="153"/>
      <c r="F38" s="143"/>
      <c r="G38" s="613" t="s">
        <v>77</v>
      </c>
      <c r="H38" s="614"/>
      <c r="I38" s="194" t="str">
        <f>IF(J34="","",H35*ABS(SIN(RADIANS(H34-(I33*10)))))</f>
        <v/>
      </c>
      <c r="J38" s="195" t="s">
        <v>75</v>
      </c>
      <c r="K38" s="194" t="str">
        <f>IF(J34="","",IF(J35="",H35*ABS(SIN(RADIANS(J34-(I33*10)))),J35*ABS(SIN(RADIANS(J34-(I33*10))))))</f>
        <v/>
      </c>
      <c r="L38" s="297"/>
      <c r="M38" s="377"/>
      <c r="N38" s="380"/>
      <c r="O38" s="380"/>
      <c r="P38" s="378"/>
    </row>
    <row r="39" spans="1:16" ht="13.5" thickBot="1" x14ac:dyDescent="0.25">
      <c r="A39" s="207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385"/>
      <c r="N39" s="385"/>
      <c r="O39" s="385"/>
      <c r="P39" s="386"/>
    </row>
  </sheetData>
  <mergeCells count="14">
    <mergeCell ref="B2:O2"/>
    <mergeCell ref="I4:L4"/>
    <mergeCell ref="I5:K5"/>
    <mergeCell ref="I6:K6"/>
    <mergeCell ref="G38:H38"/>
    <mergeCell ref="N9:O9"/>
    <mergeCell ref="E4:G4"/>
    <mergeCell ref="I8:L8"/>
    <mergeCell ref="E8:G8"/>
    <mergeCell ref="B37:C37"/>
    <mergeCell ref="N10:O10"/>
    <mergeCell ref="H14:I14"/>
    <mergeCell ref="D33:E33"/>
    <mergeCell ref="G37:H37"/>
  </mergeCells>
  <phoneticPr fontId="5" type="noConversion"/>
  <dataValidations count="1">
    <dataValidation type="list" allowBlank="1" showInputMessage="1" showErrorMessage="1" sqref="C4" xr:uid="{00000000-0002-0000-0D00-000000000000}">
      <formula1>$I$9:$I$11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00000"/>
  </sheetPr>
  <dimension ref="A1:P40"/>
  <sheetViews>
    <sheetView zoomScale="90" zoomScaleNormal="90" workbookViewId="0">
      <selection sqref="A1:A1048576"/>
    </sheetView>
  </sheetViews>
  <sheetFormatPr defaultRowHeight="12.75" x14ac:dyDescent="0.2"/>
  <cols>
    <col min="1" max="1" width="2.7109375" customWidth="1"/>
    <col min="2" max="2" width="21.5703125" customWidth="1"/>
    <col min="3" max="4" width="9.28515625" bestFit="1" customWidth="1"/>
    <col min="5" max="5" width="10.140625" bestFit="1" customWidth="1"/>
    <col min="7" max="7" width="14.85546875" customWidth="1"/>
    <col min="9" max="9" width="10" bestFit="1" customWidth="1"/>
    <col min="10" max="10" width="10" customWidth="1"/>
    <col min="11" max="11" width="9" customWidth="1"/>
    <col min="12" max="12" width="9.85546875" customWidth="1"/>
    <col min="13" max="13" width="2.7109375" customWidth="1"/>
    <col min="14" max="14" width="9.85546875" customWidth="1"/>
    <col min="15" max="15" width="8" bestFit="1" customWidth="1"/>
    <col min="16" max="16" width="2.7109375" customWidth="1"/>
  </cols>
  <sheetData>
    <row r="1" spans="1:16" ht="13.5" thickBot="1" x14ac:dyDescent="0.25">
      <c r="A1" s="169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45"/>
    </row>
    <row r="2" spans="1:16" ht="13.5" thickBot="1" x14ac:dyDescent="0.25">
      <c r="A2" s="171"/>
      <c r="B2" s="619" t="s">
        <v>39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1"/>
      <c r="P2" s="146"/>
    </row>
    <row r="3" spans="1:16" ht="13.5" thickBot="1" x14ac:dyDescent="0.25">
      <c r="A3" s="171"/>
      <c r="B3" s="148"/>
      <c r="C3" s="148"/>
      <c r="D3" s="148"/>
      <c r="E3" s="148"/>
      <c r="F3" s="161"/>
      <c r="G3" s="148"/>
      <c r="H3" s="148"/>
      <c r="I3" s="175"/>
      <c r="J3" s="175"/>
      <c r="K3" s="175"/>
      <c r="L3" s="148"/>
      <c r="M3" s="148"/>
      <c r="N3" s="148"/>
      <c r="O3" s="148"/>
      <c r="P3" s="146"/>
    </row>
    <row r="4" spans="1:16" ht="13.5" thickBot="1" x14ac:dyDescent="0.25">
      <c r="A4" s="171"/>
      <c r="B4" s="4" t="s">
        <v>8</v>
      </c>
      <c r="C4" s="63" t="s">
        <v>9</v>
      </c>
      <c r="D4" s="148"/>
      <c r="E4" s="736" t="s">
        <v>43</v>
      </c>
      <c r="F4" s="737"/>
      <c r="G4" s="738"/>
      <c r="H4" s="149"/>
      <c r="I4" s="625" t="s">
        <v>40</v>
      </c>
      <c r="J4" s="660"/>
      <c r="K4" s="626"/>
      <c r="L4" s="627"/>
      <c r="M4" s="149"/>
      <c r="N4" s="148"/>
      <c r="O4" s="150"/>
      <c r="P4" s="146"/>
    </row>
    <row r="5" spans="1:16" ht="13.5" thickBot="1" x14ac:dyDescent="0.25">
      <c r="A5" s="171"/>
      <c r="B5" s="148"/>
      <c r="C5" s="148"/>
      <c r="D5" s="148"/>
      <c r="E5" s="4" t="str">
        <f>"Main Fuel (gal)"</f>
        <v>Main Fuel (gal)</v>
      </c>
      <c r="F5" s="14"/>
      <c r="G5" s="63">
        <f>70</f>
        <v>70</v>
      </c>
      <c r="H5" s="149"/>
      <c r="I5" s="733" t="str">
        <f>"Main Fuel (gal)       ="</f>
        <v>Main Fuel (gal)       =</v>
      </c>
      <c r="J5" s="734"/>
      <c r="K5" s="735"/>
      <c r="L5" s="65"/>
      <c r="M5" s="149"/>
      <c r="N5" s="148"/>
      <c r="O5" s="150"/>
      <c r="P5" s="146"/>
    </row>
    <row r="6" spans="1:16" ht="13.5" thickBot="1" x14ac:dyDescent="0.25">
      <c r="A6" s="171"/>
      <c r="B6" s="116" t="s">
        <v>84</v>
      </c>
      <c r="C6" s="367">
        <v>180</v>
      </c>
      <c r="D6" s="148"/>
      <c r="E6" s="15" t="str">
        <f>"Aux Fuel (gal) ="</f>
        <v>Aux Fuel (gal) =</v>
      </c>
      <c r="F6" s="16"/>
      <c r="G6" s="63">
        <f>62</f>
        <v>62</v>
      </c>
      <c r="H6" s="148"/>
      <c r="I6" s="666" t="str">
        <f>"Aux Fuel (gal)          ="</f>
        <v>Aux Fuel (gal)          =</v>
      </c>
      <c r="J6" s="688"/>
      <c r="K6" s="667"/>
      <c r="L6" s="62"/>
      <c r="M6" s="148"/>
      <c r="N6" s="148"/>
      <c r="O6" s="148"/>
      <c r="P6" s="146"/>
    </row>
    <row r="7" spans="1:16" ht="13.5" thickBot="1" x14ac:dyDescent="0.25">
      <c r="A7" s="171"/>
      <c r="B7" s="73" t="s">
        <v>83</v>
      </c>
      <c r="C7" s="114">
        <v>155</v>
      </c>
      <c r="D7" s="148"/>
      <c r="E7" s="148"/>
      <c r="F7" s="148"/>
      <c r="G7" s="148"/>
      <c r="H7" s="148"/>
      <c r="I7" s="729"/>
      <c r="J7" s="729"/>
      <c r="K7" s="729"/>
      <c r="L7" s="161"/>
      <c r="M7" s="148"/>
      <c r="N7" s="235"/>
      <c r="O7" s="235"/>
      <c r="P7" s="146"/>
    </row>
    <row r="8" spans="1:16" ht="13.5" thickBot="1" x14ac:dyDescent="0.25">
      <c r="A8" s="171"/>
      <c r="B8" s="74" t="s">
        <v>90</v>
      </c>
      <c r="C8" s="114">
        <v>200</v>
      </c>
      <c r="D8" s="148"/>
      <c r="E8" s="616" t="s">
        <v>22</v>
      </c>
      <c r="F8" s="617"/>
      <c r="G8" s="618"/>
      <c r="H8" s="148"/>
      <c r="I8" s="153"/>
      <c r="J8" s="153"/>
      <c r="K8" s="153"/>
      <c r="L8" s="153"/>
      <c r="M8" s="148"/>
      <c r="N8" s="235"/>
      <c r="O8" s="235"/>
      <c r="P8" s="217"/>
    </row>
    <row r="9" spans="1:16" ht="13.5" thickBot="1" x14ac:dyDescent="0.25">
      <c r="A9" s="171"/>
      <c r="B9" s="72" t="s">
        <v>91</v>
      </c>
      <c r="C9" s="114">
        <v>75</v>
      </c>
      <c r="D9" s="148"/>
      <c r="E9" s="4" t="str">
        <f>"Main Fuel (gal)       ="</f>
        <v>Main Fuel (gal)       =</v>
      </c>
      <c r="F9" s="3"/>
      <c r="G9" s="63">
        <v>50</v>
      </c>
      <c r="H9" s="148"/>
      <c r="I9" s="741" t="s">
        <v>19</v>
      </c>
      <c r="J9" s="742"/>
      <c r="K9" s="742"/>
      <c r="L9" s="743"/>
      <c r="M9" s="148"/>
      <c r="N9" s="235"/>
      <c r="O9" s="235"/>
      <c r="P9" s="146"/>
    </row>
    <row r="10" spans="1:16" ht="13.5" thickBot="1" x14ac:dyDescent="0.25">
      <c r="A10" s="171"/>
      <c r="B10" s="116" t="s">
        <v>12</v>
      </c>
      <c r="C10" s="114">
        <v>0</v>
      </c>
      <c r="D10" s="148"/>
      <c r="E10" s="4" t="str">
        <f>"Aux Fuel (gal)        ="</f>
        <v>Aux Fuel (gal)        =</v>
      </c>
      <c r="F10" s="3"/>
      <c r="G10" s="63">
        <v>40</v>
      </c>
      <c r="H10" s="148"/>
      <c r="I10" s="317" t="s">
        <v>9</v>
      </c>
      <c r="J10" s="318">
        <f t="shared" ref="J10:J11" si="0">IF(I10="","",L10/K10)</f>
        <v>77.108383233532933</v>
      </c>
      <c r="K10" s="88">
        <v>3340</v>
      </c>
      <c r="L10" s="89">
        <v>257542</v>
      </c>
      <c r="M10" s="148"/>
      <c r="N10" s="235"/>
      <c r="O10" s="235"/>
      <c r="P10" s="146"/>
    </row>
    <row r="11" spans="1:16" ht="13.5" thickBot="1" x14ac:dyDescent="0.25">
      <c r="A11" s="171"/>
      <c r="B11" s="116" t="s">
        <v>13</v>
      </c>
      <c r="C11" s="368">
        <v>0</v>
      </c>
      <c r="D11" s="148"/>
      <c r="E11" s="4" t="s">
        <v>27</v>
      </c>
      <c r="F11" s="3"/>
      <c r="G11" s="63">
        <v>2</v>
      </c>
      <c r="H11" s="148"/>
      <c r="I11" s="133"/>
      <c r="J11" s="319" t="str">
        <f t="shared" si="0"/>
        <v/>
      </c>
      <c r="K11" s="85"/>
      <c r="L11" s="86"/>
      <c r="M11" s="148"/>
      <c r="N11" s="189"/>
      <c r="O11" s="189"/>
      <c r="P11" s="236"/>
    </row>
    <row r="12" spans="1:16" x14ac:dyDescent="0.2">
      <c r="A12" s="171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739"/>
      <c r="O12" s="739"/>
      <c r="P12" s="236"/>
    </row>
    <row r="13" spans="1:16" x14ac:dyDescent="0.2">
      <c r="A13" s="171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740"/>
      <c r="O13" s="740"/>
      <c r="P13" s="236"/>
    </row>
    <row r="14" spans="1:16" ht="13.5" thickBot="1" x14ac:dyDescent="0.25">
      <c r="A14" s="171"/>
      <c r="B14" s="148"/>
      <c r="C14" s="148"/>
      <c r="D14" s="148"/>
      <c r="E14" s="148"/>
      <c r="F14" s="148"/>
      <c r="G14" s="162"/>
      <c r="H14" s="148"/>
      <c r="I14" s="148"/>
      <c r="J14" s="148"/>
      <c r="K14" s="148"/>
      <c r="L14" s="152"/>
      <c r="M14" s="152"/>
      <c r="N14" s="255"/>
      <c r="O14" s="256"/>
      <c r="P14" s="147"/>
    </row>
    <row r="15" spans="1:16" ht="13.5" thickBot="1" x14ac:dyDescent="0.25">
      <c r="A15" s="234"/>
      <c r="B15" s="148"/>
      <c r="C15" s="148"/>
      <c r="D15" s="148"/>
      <c r="E15" s="148"/>
      <c r="F15" s="148"/>
      <c r="G15" s="160"/>
      <c r="H15" s="736" t="s">
        <v>17</v>
      </c>
      <c r="I15" s="738"/>
      <c r="J15" s="160"/>
      <c r="K15" s="160"/>
      <c r="L15" s="152"/>
      <c r="M15" s="152"/>
      <c r="N15" s="192">
        <v>86</v>
      </c>
      <c r="O15" s="192">
        <f>C19</f>
        <v>3340</v>
      </c>
      <c r="P15" s="147"/>
    </row>
    <row r="16" spans="1:16" x14ac:dyDescent="0.2">
      <c r="A16" s="234"/>
      <c r="B16" s="98" t="s">
        <v>2</v>
      </c>
      <c r="C16" s="91" t="s">
        <v>0</v>
      </c>
      <c r="D16" s="99" t="s">
        <v>3</v>
      </c>
      <c r="E16" s="92" t="s">
        <v>1</v>
      </c>
      <c r="F16" s="148"/>
      <c r="G16" s="148"/>
      <c r="H16" s="148"/>
      <c r="I16" s="148"/>
      <c r="J16" s="148"/>
      <c r="K16" s="148"/>
      <c r="L16" s="152"/>
      <c r="M16" s="152"/>
      <c r="N16" s="193">
        <v>74</v>
      </c>
      <c r="O16" s="193">
        <f>C19</f>
        <v>3340</v>
      </c>
      <c r="P16" s="147"/>
    </row>
    <row r="17" spans="1:16" x14ac:dyDescent="0.2">
      <c r="A17" s="234"/>
      <c r="B17" s="30" t="str">
        <f>IF(C4=I10,I10,I11)</f>
        <v>255WP</v>
      </c>
      <c r="C17" s="7"/>
      <c r="D17" s="8"/>
      <c r="E17" s="5"/>
      <c r="F17" s="148"/>
      <c r="G17" s="148"/>
      <c r="H17" s="148"/>
      <c r="I17" s="148"/>
      <c r="J17" s="148"/>
      <c r="K17" s="148"/>
      <c r="L17" s="152"/>
      <c r="M17" s="152"/>
      <c r="N17" s="193">
        <v>74</v>
      </c>
      <c r="O17" s="193">
        <v>3810</v>
      </c>
      <c r="P17" s="147"/>
    </row>
    <row r="18" spans="1:16" x14ac:dyDescent="0.2">
      <c r="A18" s="234"/>
      <c r="B18" s="1"/>
      <c r="C18" s="9"/>
      <c r="D18" s="2"/>
      <c r="E18" s="6"/>
      <c r="F18" s="162"/>
      <c r="G18" s="148"/>
      <c r="H18" s="148"/>
      <c r="I18" s="148"/>
      <c r="J18" s="148"/>
      <c r="K18" s="148"/>
      <c r="L18" s="152"/>
      <c r="M18" s="152"/>
      <c r="N18" s="193">
        <v>77.5</v>
      </c>
      <c r="O18" s="193">
        <v>4740</v>
      </c>
      <c r="P18" s="147"/>
    </row>
    <row r="19" spans="1:16" x14ac:dyDescent="0.2">
      <c r="A19" s="234"/>
      <c r="B19" s="1" t="str">
        <f>IF(C19=" "," ","Empty Weight")</f>
        <v>Empty Weight</v>
      </c>
      <c r="C19" s="37">
        <f>IF(B17=I10,K10,K11)</f>
        <v>3340</v>
      </c>
      <c r="D19" s="18">
        <f>IF(C19=0,0,(E19/C19))</f>
        <v>77.108383233532933</v>
      </c>
      <c r="E19" s="17">
        <f>IF(B17=I10,L10,L11)</f>
        <v>257542</v>
      </c>
      <c r="F19" s="232"/>
      <c r="G19" s="233"/>
      <c r="H19" s="148"/>
      <c r="I19" s="148"/>
      <c r="J19" s="148"/>
      <c r="K19" s="148"/>
      <c r="L19" s="152"/>
      <c r="M19" s="152"/>
      <c r="N19" s="193">
        <v>81</v>
      </c>
      <c r="O19" s="193">
        <v>5118</v>
      </c>
      <c r="P19" s="147"/>
    </row>
    <row r="20" spans="1:16" x14ac:dyDescent="0.2">
      <c r="A20" s="171"/>
      <c r="B20" s="1" t="s">
        <v>15</v>
      </c>
      <c r="C20" s="37">
        <f>IF(B17="",0,C6+C7)</f>
        <v>335</v>
      </c>
      <c r="D20" s="22">
        <f>IF(B17="See Other Chart",0,85)</f>
        <v>85</v>
      </c>
      <c r="E20" s="17">
        <f>IF(C20="","",C20*D20)</f>
        <v>28475</v>
      </c>
      <c r="F20" s="232"/>
      <c r="G20" s="233"/>
      <c r="H20" s="232"/>
      <c r="I20" s="232"/>
      <c r="J20" s="232"/>
      <c r="K20" s="232"/>
      <c r="L20" s="152"/>
      <c r="M20" s="152"/>
      <c r="N20" s="193">
        <v>86</v>
      </c>
      <c r="O20" s="193">
        <v>5118</v>
      </c>
      <c r="P20" s="147"/>
    </row>
    <row r="21" spans="1:16" x14ac:dyDescent="0.2">
      <c r="A21" s="171"/>
      <c r="B21" s="1" t="s">
        <v>26</v>
      </c>
      <c r="C21" s="37">
        <f>IF(B17="",0,C8+C9)</f>
        <v>275</v>
      </c>
      <c r="D21" s="22">
        <f>IF(B17="See Other Chart",0,121)</f>
        <v>121</v>
      </c>
      <c r="E21" s="17">
        <f>IF(C21="","",C21*D21)</f>
        <v>33275</v>
      </c>
      <c r="F21" s="232"/>
      <c r="G21" s="233"/>
      <c r="H21" s="232"/>
      <c r="I21" s="232"/>
      <c r="J21" s="232"/>
      <c r="K21" s="232"/>
      <c r="L21" s="152"/>
      <c r="M21" s="152"/>
      <c r="N21" s="193">
        <v>86</v>
      </c>
      <c r="O21" s="193">
        <f>C19</f>
        <v>3340</v>
      </c>
      <c r="P21" s="147"/>
    </row>
    <row r="22" spans="1:16" x14ac:dyDescent="0.2">
      <c r="A22" s="171"/>
      <c r="B22" s="10" t="s">
        <v>13</v>
      </c>
      <c r="C22" s="19">
        <f>IF(B17="",0,C11)</f>
        <v>0</v>
      </c>
      <c r="D22" s="22">
        <f>IF(B17="See Other Chart",0,145)</f>
        <v>145</v>
      </c>
      <c r="E22" s="17">
        <f>IF(C22=0,0,C22*D22)</f>
        <v>0</v>
      </c>
      <c r="F22" s="232"/>
      <c r="G22" s="233"/>
      <c r="H22" s="232"/>
      <c r="I22" s="232"/>
      <c r="J22" s="232"/>
      <c r="K22" s="232"/>
      <c r="L22" s="152"/>
      <c r="M22" s="152"/>
      <c r="N22" s="193"/>
      <c r="O22" s="193"/>
      <c r="P22" s="147"/>
    </row>
    <row r="23" spans="1:16" x14ac:dyDescent="0.2">
      <c r="A23" s="171"/>
      <c r="B23" s="93" t="s">
        <v>16</v>
      </c>
      <c r="C23" s="94">
        <f>IF(C19=0,0,SUM(C19:C22))</f>
        <v>3950</v>
      </c>
      <c r="D23" s="101">
        <f>IF(C23=0,0,E23/C23)</f>
        <v>80.833417721518984</v>
      </c>
      <c r="E23" s="96">
        <f>IF(E19=0,0,SUM(E19:E22))</f>
        <v>319292</v>
      </c>
      <c r="F23" s="232"/>
      <c r="G23" s="233"/>
      <c r="H23" s="232"/>
      <c r="I23" s="232"/>
      <c r="J23" s="232"/>
      <c r="K23" s="232"/>
      <c r="L23" s="152"/>
      <c r="M23" s="152"/>
      <c r="N23" s="193">
        <f>D28</f>
        <v>81.287103594080335</v>
      </c>
      <c r="O23" s="193">
        <f>C28</f>
        <v>4730</v>
      </c>
      <c r="P23" s="147"/>
    </row>
    <row r="24" spans="1:16" x14ac:dyDescent="0.2">
      <c r="A24" s="171"/>
      <c r="B24" s="10" t="str">
        <f>IF(B17=54130,"Fuel Weight","Main Fuel")</f>
        <v>Main Fuel</v>
      </c>
      <c r="C24" s="19">
        <f>IF(L5="",G5*6,L5*6)</f>
        <v>420</v>
      </c>
      <c r="D24" s="22">
        <f>IF(B17="See Other Chart",0,75)</f>
        <v>75</v>
      </c>
      <c r="E24" s="17">
        <f>IF(C24=0,0,C24*D24)</f>
        <v>31500</v>
      </c>
      <c r="F24" s="148"/>
      <c r="G24" s="148"/>
      <c r="H24" s="148"/>
      <c r="I24" s="148"/>
      <c r="J24" s="148"/>
      <c r="K24" s="148"/>
      <c r="L24" s="152"/>
      <c r="M24" s="152"/>
      <c r="N24" s="193">
        <f>D31</f>
        <v>81.06634844868735</v>
      </c>
      <c r="O24" s="220">
        <f>C31</f>
        <v>4190</v>
      </c>
      <c r="P24" s="147"/>
    </row>
    <row r="25" spans="1:16" x14ac:dyDescent="0.2">
      <c r="A25" s="171"/>
      <c r="B25" s="1" t="str">
        <f>IF(B17=54130,"","Aux Fuel")</f>
        <v>Aux Fuel</v>
      </c>
      <c r="C25" s="19">
        <f>IF(L6="",G6*6,L6*6)</f>
        <v>372</v>
      </c>
      <c r="D25" s="22">
        <f>IF(B17="See Other Chart",0,93)</f>
        <v>93</v>
      </c>
      <c r="E25" s="17">
        <f>IF(C25=0,0,C25*D25)</f>
        <v>34596</v>
      </c>
      <c r="F25" s="148"/>
      <c r="G25" s="148"/>
      <c r="H25" s="148"/>
      <c r="I25" s="148"/>
      <c r="J25" s="148"/>
      <c r="K25" s="148"/>
      <c r="L25" s="152"/>
      <c r="M25" s="152"/>
      <c r="N25" s="193">
        <f>D23</f>
        <v>80.833417721518984</v>
      </c>
      <c r="O25" s="220">
        <f>C23</f>
        <v>3950</v>
      </c>
      <c r="P25" s="147"/>
    </row>
    <row r="26" spans="1:16" x14ac:dyDescent="0.2">
      <c r="A26" s="171"/>
      <c r="B26" s="1"/>
      <c r="C26" s="19"/>
      <c r="D26" s="22"/>
      <c r="E26" s="23"/>
      <c r="F26" s="148"/>
      <c r="G26" s="148"/>
      <c r="H26" s="148"/>
      <c r="I26" s="148"/>
      <c r="J26" s="148"/>
      <c r="K26" s="148"/>
      <c r="L26" s="152"/>
      <c r="M26" s="152"/>
      <c r="N26" s="193"/>
      <c r="O26" s="193"/>
      <c r="P26" s="147"/>
    </row>
    <row r="27" spans="1:16" x14ac:dyDescent="0.2">
      <c r="A27" s="171"/>
      <c r="B27" s="10" t="s">
        <v>28</v>
      </c>
      <c r="C27" s="57">
        <f>IF(C19=0,0,G11*6)</f>
        <v>12</v>
      </c>
      <c r="D27" s="22">
        <f>IF(B17="See Other Chart",0,75)</f>
        <v>75</v>
      </c>
      <c r="E27" s="17">
        <f>IF(C27=0,0,C27*D27)*-1</f>
        <v>-900</v>
      </c>
      <c r="F27" s="148"/>
      <c r="G27" s="148"/>
      <c r="H27" s="148"/>
      <c r="I27" s="148"/>
      <c r="J27" s="148"/>
      <c r="K27" s="148"/>
      <c r="L27" s="152"/>
      <c r="M27" s="152"/>
      <c r="N27" s="193">
        <f>D19</f>
        <v>77.108383233532933</v>
      </c>
      <c r="O27" s="193">
        <f>C19</f>
        <v>3340</v>
      </c>
      <c r="P27" s="147"/>
    </row>
    <row r="28" spans="1:16" x14ac:dyDescent="0.2">
      <c r="A28" s="171"/>
      <c r="B28" s="93" t="s">
        <v>4</v>
      </c>
      <c r="C28" s="94">
        <f>IF(C23=0,0,C23+C24+C25-C27)</f>
        <v>4730</v>
      </c>
      <c r="D28" s="101">
        <f>IF(C28=0,0,E28/C28)</f>
        <v>81.287103594080335</v>
      </c>
      <c r="E28" s="96">
        <f>SUM(E23:E27)</f>
        <v>384488</v>
      </c>
      <c r="F28" s="148"/>
      <c r="G28" s="148"/>
      <c r="H28" s="148"/>
      <c r="I28" s="148"/>
      <c r="J28" s="148"/>
      <c r="K28" s="148"/>
      <c r="L28" s="152"/>
      <c r="M28" s="152"/>
      <c r="N28" s="250"/>
      <c r="O28" s="250"/>
      <c r="P28" s="147"/>
    </row>
    <row r="29" spans="1:16" x14ac:dyDescent="0.2">
      <c r="A29" s="171"/>
      <c r="B29" s="10" t="s">
        <v>24</v>
      </c>
      <c r="C29" s="19">
        <f>IF(C19=0,0,G9*6)</f>
        <v>300</v>
      </c>
      <c r="D29" s="22">
        <f>IF(B17="See Other Chart",0,75)</f>
        <v>75</v>
      </c>
      <c r="E29" s="17">
        <f>IF(C29=0,0,C29*D29)*-1</f>
        <v>-22500</v>
      </c>
      <c r="F29" s="148"/>
      <c r="G29" s="148"/>
      <c r="H29" s="148"/>
      <c r="I29" s="148"/>
      <c r="J29" s="148"/>
      <c r="K29" s="148"/>
      <c r="L29" s="152"/>
      <c r="M29" s="152"/>
      <c r="N29" s="248"/>
      <c r="O29" s="248"/>
      <c r="P29" s="147"/>
    </row>
    <row r="30" spans="1:16" x14ac:dyDescent="0.2">
      <c r="A30" s="171"/>
      <c r="B30" s="1" t="s">
        <v>25</v>
      </c>
      <c r="C30" s="19">
        <f>IF(C19=0,0,G10*6)</f>
        <v>240</v>
      </c>
      <c r="D30" s="22">
        <f>IF(B17="See Other Chart",0,93)</f>
        <v>93</v>
      </c>
      <c r="E30" s="17">
        <f>IF(C30=0,0,C30*D30)*-1</f>
        <v>-22320</v>
      </c>
      <c r="F30" s="148"/>
      <c r="G30" s="148"/>
      <c r="H30" s="148"/>
      <c r="I30" s="148"/>
      <c r="J30" s="148"/>
      <c r="K30" s="148"/>
      <c r="L30" s="152"/>
      <c r="M30" s="152"/>
      <c r="N30" s="248"/>
      <c r="O30" s="248"/>
      <c r="P30" s="147"/>
    </row>
    <row r="31" spans="1:16" ht="13.5" thickBot="1" x14ac:dyDescent="0.25">
      <c r="A31" s="171"/>
      <c r="B31" s="93" t="s">
        <v>5</v>
      </c>
      <c r="C31" s="94">
        <f>IF(C28=0,0,C28-(C29+C30))</f>
        <v>4190</v>
      </c>
      <c r="D31" s="101">
        <f>IF(C31=0,0,E31/C31)</f>
        <v>81.06634844868735</v>
      </c>
      <c r="E31" s="96">
        <f>IF(E28="","",E28+E29+E30)</f>
        <v>339668</v>
      </c>
      <c r="F31" s="148"/>
      <c r="G31" s="148"/>
      <c r="H31" s="148"/>
      <c r="I31" s="148"/>
      <c r="J31" s="148"/>
      <c r="K31" s="148"/>
      <c r="L31" s="152"/>
      <c r="M31" s="152"/>
      <c r="N31" s="248"/>
      <c r="O31" s="248"/>
      <c r="P31" s="147"/>
    </row>
    <row r="32" spans="1:16" x14ac:dyDescent="0.2">
      <c r="A32" s="171"/>
      <c r="B32" s="249" t="s">
        <v>72</v>
      </c>
      <c r="C32" s="272">
        <f>O20-O16</f>
        <v>1778</v>
      </c>
      <c r="D32" s="285"/>
      <c r="E32" s="286"/>
      <c r="F32" s="148"/>
      <c r="G32" s="148"/>
      <c r="H32" s="148"/>
      <c r="I32" s="148"/>
      <c r="J32" s="148"/>
      <c r="K32" s="148"/>
      <c r="L32" s="227"/>
      <c r="M32" s="227"/>
      <c r="N32" s="248"/>
      <c r="O32" s="248"/>
      <c r="P32" s="229"/>
    </row>
    <row r="33" spans="1:16" ht="13.5" thickBot="1" x14ac:dyDescent="0.25">
      <c r="A33" s="171"/>
      <c r="B33" s="273" t="s">
        <v>93</v>
      </c>
      <c r="C33" s="271">
        <f>(O20-O16)-(C24+C25)</f>
        <v>986</v>
      </c>
      <c r="D33" s="284"/>
      <c r="E33" s="287"/>
      <c r="F33" s="148"/>
      <c r="G33" s="151"/>
      <c r="H33" s="172"/>
      <c r="I33" s="308" t="s">
        <v>79</v>
      </c>
      <c r="J33" s="180"/>
      <c r="K33" s="164"/>
      <c r="L33" s="227"/>
      <c r="M33" s="227"/>
      <c r="N33" s="248"/>
      <c r="O33" s="248"/>
      <c r="P33" s="229"/>
    </row>
    <row r="34" spans="1:16" ht="13.5" thickBot="1" x14ac:dyDescent="0.25">
      <c r="A34" s="171"/>
      <c r="B34" s="282" t="s">
        <v>73</v>
      </c>
      <c r="C34" s="283">
        <f>IF(C32="","",C32-(C24+C25+C6+C8+C10+C11))</f>
        <v>606</v>
      </c>
      <c r="D34" s="632" t="str">
        <f>IF(C34&lt;0,"&lt;&lt;&lt;&lt;&lt;&lt;  Over Loaded! ","")</f>
        <v/>
      </c>
      <c r="E34" s="633"/>
      <c r="F34" s="136"/>
      <c r="G34" s="153"/>
      <c r="H34" s="153"/>
      <c r="I34" s="296">
        <v>25</v>
      </c>
      <c r="J34" s="153"/>
      <c r="K34" s="168"/>
      <c r="L34" s="242"/>
      <c r="M34" s="242"/>
      <c r="N34" s="227"/>
      <c r="O34" s="228"/>
      <c r="P34" s="229"/>
    </row>
    <row r="35" spans="1:16" x14ac:dyDescent="0.2">
      <c r="A35" s="171"/>
      <c r="B35" s="135"/>
      <c r="C35" s="135"/>
      <c r="D35" s="135"/>
      <c r="E35" s="135"/>
      <c r="F35" s="135"/>
      <c r="G35" s="299" t="s">
        <v>71</v>
      </c>
      <c r="H35" s="141">
        <v>210</v>
      </c>
      <c r="I35" s="295" t="s">
        <v>74</v>
      </c>
      <c r="J35" s="141"/>
      <c r="K35" s="187"/>
      <c r="L35" s="242"/>
      <c r="M35" s="242"/>
      <c r="N35" s="227"/>
      <c r="O35" s="228"/>
      <c r="P35" s="229"/>
    </row>
    <row r="36" spans="1:16" x14ac:dyDescent="0.2">
      <c r="A36" s="171"/>
      <c r="B36" s="242"/>
      <c r="C36" s="242"/>
      <c r="D36" s="242"/>
      <c r="E36" s="242"/>
      <c r="F36" s="242"/>
      <c r="G36" s="299" t="s">
        <v>70</v>
      </c>
      <c r="H36" s="141">
        <v>10</v>
      </c>
      <c r="I36" s="295" t="s">
        <v>76</v>
      </c>
      <c r="J36" s="141">
        <v>15</v>
      </c>
      <c r="K36" s="302"/>
      <c r="L36" s="243"/>
      <c r="M36" s="243"/>
      <c r="N36" s="227"/>
      <c r="O36" s="228"/>
      <c r="P36" s="229"/>
    </row>
    <row r="37" spans="1:16" x14ac:dyDescent="0.2">
      <c r="A37" s="171"/>
      <c r="B37" s="615"/>
      <c r="C37" s="615"/>
      <c r="D37" s="139"/>
      <c r="E37" s="142"/>
      <c r="F37" s="139"/>
      <c r="G37" s="135"/>
      <c r="H37" s="153"/>
      <c r="I37" s="153"/>
      <c r="J37" s="153"/>
      <c r="K37" s="153"/>
      <c r="L37" s="140"/>
      <c r="M37" s="140"/>
      <c r="N37" s="294"/>
      <c r="O37" s="228"/>
      <c r="P37" s="229"/>
    </row>
    <row r="38" spans="1:16" x14ac:dyDescent="0.2">
      <c r="A38" s="171"/>
      <c r="B38" s="143"/>
      <c r="C38" s="144"/>
      <c r="D38" s="138"/>
      <c r="E38" s="139"/>
      <c r="F38" s="143"/>
      <c r="G38" s="613" t="s">
        <v>78</v>
      </c>
      <c r="H38" s="614"/>
      <c r="I38" s="194">
        <f>IF(H36="","",H36*ABS(SIN(RADIANS(H35-(I34*10)))))</f>
        <v>6.4278760968653925</v>
      </c>
      <c r="J38" s="137" t="s">
        <v>75</v>
      </c>
      <c r="K38" s="194">
        <f>IF(J36="","",J36*ABS(SIN(RADIANS(H35-(I34*10)))))</f>
        <v>9.6418141452980883</v>
      </c>
      <c r="L38" s="298"/>
      <c r="M38" s="148"/>
      <c r="N38" s="148"/>
      <c r="O38" s="228"/>
      <c r="P38" s="229"/>
    </row>
    <row r="39" spans="1:16" x14ac:dyDescent="0.2">
      <c r="A39" s="171"/>
      <c r="B39" s="615"/>
      <c r="C39" s="615"/>
      <c r="D39" s="139"/>
      <c r="E39" s="142"/>
      <c r="F39" s="139"/>
      <c r="G39" s="613" t="s">
        <v>77</v>
      </c>
      <c r="H39" s="614"/>
      <c r="I39" s="194" t="str">
        <f>IF(J35="","",H36*ABS(SIN(RADIANS(H35-(I34*10)))))</f>
        <v/>
      </c>
      <c r="J39" s="195" t="s">
        <v>75</v>
      </c>
      <c r="K39" s="194" t="str">
        <f>IF(J35="","",IF(J36="",H36*ABS(SIN(RADIANS(J35-(I34*10)))),J36*ABS(SIN(RADIANS(J35-(I34*10))))))</f>
        <v/>
      </c>
      <c r="L39" s="297"/>
      <c r="M39" s="140"/>
      <c r="N39" s="148"/>
      <c r="O39" s="228"/>
      <c r="P39" s="229"/>
    </row>
    <row r="40" spans="1:16" ht="13.5" thickBot="1" x14ac:dyDescent="0.25">
      <c r="A40" s="181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230"/>
      <c r="N40" s="230"/>
      <c r="O40" s="230"/>
      <c r="P40" s="231"/>
    </row>
  </sheetData>
  <mergeCells count="16">
    <mergeCell ref="G39:H39"/>
    <mergeCell ref="B37:C37"/>
    <mergeCell ref="B39:C39"/>
    <mergeCell ref="B2:O2"/>
    <mergeCell ref="E4:G4"/>
    <mergeCell ref="I4:L4"/>
    <mergeCell ref="I5:K5"/>
    <mergeCell ref="N12:O12"/>
    <mergeCell ref="N13:O13"/>
    <mergeCell ref="H15:I15"/>
    <mergeCell ref="I6:K6"/>
    <mergeCell ref="I7:K7"/>
    <mergeCell ref="E8:G8"/>
    <mergeCell ref="I9:L9"/>
    <mergeCell ref="D34:E34"/>
    <mergeCell ref="G38:H38"/>
  </mergeCells>
  <phoneticPr fontId="5" type="noConversion"/>
  <dataValidations count="1">
    <dataValidation type="list" allowBlank="1" showInputMessage="1" showErrorMessage="1" sqref="C4" xr:uid="{00000000-0002-0000-0E00-000000000000}">
      <formula1>$I$10:$I$11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</sheetPr>
  <dimension ref="A1:P39"/>
  <sheetViews>
    <sheetView zoomScale="90" zoomScaleNormal="90" workbookViewId="0">
      <selection sqref="A1:A1048576"/>
    </sheetView>
  </sheetViews>
  <sheetFormatPr defaultRowHeight="12.75" x14ac:dyDescent="0.2"/>
  <cols>
    <col min="1" max="1" width="2.7109375" customWidth="1"/>
    <col min="2" max="2" width="21.5703125" customWidth="1"/>
    <col min="3" max="4" width="9.28515625" bestFit="1" customWidth="1"/>
    <col min="5" max="5" width="10.140625" bestFit="1" customWidth="1"/>
    <col min="6" max="6" width="10.140625" customWidth="1"/>
    <col min="7" max="7" width="14.5703125" customWidth="1"/>
    <col min="9" max="9" width="10" bestFit="1" customWidth="1"/>
    <col min="10" max="10" width="10" customWidth="1"/>
    <col min="11" max="11" width="9" customWidth="1"/>
    <col min="12" max="12" width="9.85546875" customWidth="1"/>
    <col min="13" max="13" width="2.7109375" customWidth="1"/>
    <col min="14" max="14" width="9.85546875" customWidth="1"/>
    <col min="15" max="15" width="7.7109375" customWidth="1"/>
    <col min="16" max="16" width="2.7109375" customWidth="1"/>
  </cols>
  <sheetData>
    <row r="1" spans="1:16" ht="13.5" thickBot="1" x14ac:dyDescent="0.25">
      <c r="A1" s="169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45"/>
    </row>
    <row r="2" spans="1:16" ht="13.5" thickBot="1" x14ac:dyDescent="0.25">
      <c r="A2" s="171"/>
      <c r="B2" s="619" t="s">
        <v>39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1"/>
      <c r="P2" s="237"/>
    </row>
    <row r="3" spans="1:16" ht="13.5" thickBot="1" x14ac:dyDescent="0.25">
      <c r="A3" s="171"/>
      <c r="B3" s="148"/>
      <c r="C3" s="148"/>
      <c r="D3" s="148"/>
      <c r="E3" s="148"/>
      <c r="F3" s="161"/>
      <c r="G3" s="148"/>
      <c r="H3" s="148"/>
      <c r="I3" s="175"/>
      <c r="J3" s="175"/>
      <c r="K3" s="175"/>
      <c r="L3" s="175"/>
      <c r="M3" s="175"/>
      <c r="N3" s="148"/>
      <c r="O3" s="148"/>
      <c r="P3" s="146"/>
    </row>
    <row r="4" spans="1:16" ht="13.5" thickBot="1" x14ac:dyDescent="0.25">
      <c r="A4" s="171"/>
      <c r="B4" s="4" t="s">
        <v>8</v>
      </c>
      <c r="C4" s="63" t="s">
        <v>44</v>
      </c>
      <c r="D4" s="148"/>
      <c r="E4" s="744" t="s">
        <v>45</v>
      </c>
      <c r="F4" s="764"/>
      <c r="G4" s="745"/>
      <c r="H4" s="149"/>
      <c r="I4" s="759" t="s">
        <v>40</v>
      </c>
      <c r="J4" s="760"/>
      <c r="K4" s="760"/>
      <c r="L4" s="760"/>
      <c r="M4" s="761"/>
      <c r="N4" s="762"/>
      <c r="O4" s="149"/>
      <c r="P4" s="146"/>
    </row>
    <row r="5" spans="1:16" ht="13.5" thickBot="1" x14ac:dyDescent="0.25">
      <c r="A5" s="171"/>
      <c r="B5" s="148"/>
      <c r="C5" s="148"/>
      <c r="D5" s="148"/>
      <c r="E5" s="4" t="str">
        <f>"Main Fuel (gal) ="</f>
        <v>Main Fuel (gal) =</v>
      </c>
      <c r="F5" s="14"/>
      <c r="G5" s="63">
        <v>80</v>
      </c>
      <c r="H5" s="149"/>
      <c r="I5" s="628" t="str">
        <f>"Main Fuel (gal)    ="</f>
        <v>Main Fuel (gal)    =</v>
      </c>
      <c r="J5" s="652"/>
      <c r="K5" s="652"/>
      <c r="L5" s="652"/>
      <c r="M5" s="629"/>
      <c r="N5" s="62"/>
      <c r="O5" s="149"/>
      <c r="P5" s="146"/>
    </row>
    <row r="6" spans="1:16" ht="13.5" thickBot="1" x14ac:dyDescent="0.25">
      <c r="A6" s="171"/>
      <c r="B6" s="116" t="s">
        <v>84</v>
      </c>
      <c r="C6" s="367">
        <v>185</v>
      </c>
      <c r="D6" s="148"/>
      <c r="E6" s="148"/>
      <c r="F6" s="161"/>
      <c r="G6" s="161"/>
      <c r="H6" s="148"/>
      <c r="I6" s="763"/>
      <c r="J6" s="763"/>
      <c r="K6" s="763"/>
      <c r="L6" s="763"/>
      <c r="M6" s="763"/>
      <c r="N6" s="161"/>
      <c r="O6" s="148"/>
      <c r="P6" s="146"/>
    </row>
    <row r="7" spans="1:16" ht="13.5" thickBot="1" x14ac:dyDescent="0.25">
      <c r="A7" s="171"/>
      <c r="B7" s="73" t="s">
        <v>88</v>
      </c>
      <c r="C7" s="114">
        <v>160</v>
      </c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238"/>
    </row>
    <row r="8" spans="1:16" ht="13.5" thickBot="1" x14ac:dyDescent="0.25">
      <c r="A8" s="171"/>
      <c r="B8" s="74" t="s">
        <v>90</v>
      </c>
      <c r="C8" s="114">
        <v>20</v>
      </c>
      <c r="D8" s="148"/>
      <c r="E8" s="148"/>
      <c r="F8" s="159"/>
      <c r="G8" s="159"/>
      <c r="H8" s="148"/>
      <c r="I8" s="148"/>
      <c r="J8" s="148"/>
      <c r="K8" s="148"/>
      <c r="L8" s="148"/>
      <c r="M8" s="148"/>
      <c r="N8" s="148"/>
      <c r="O8" s="148"/>
      <c r="P8" s="238"/>
    </row>
    <row r="9" spans="1:16" ht="13.5" thickBot="1" x14ac:dyDescent="0.25">
      <c r="A9" s="171"/>
      <c r="B9" s="72" t="s">
        <v>86</v>
      </c>
      <c r="C9" s="114"/>
      <c r="D9" s="148"/>
      <c r="E9" s="616" t="s">
        <v>22</v>
      </c>
      <c r="F9" s="617"/>
      <c r="G9" s="618"/>
      <c r="H9" s="148"/>
      <c r="I9" s="756" t="s">
        <v>19</v>
      </c>
      <c r="J9" s="757"/>
      <c r="K9" s="757"/>
      <c r="L9" s="757"/>
      <c r="M9" s="757"/>
      <c r="N9" s="758"/>
      <c r="O9" s="148"/>
      <c r="P9" s="147"/>
    </row>
    <row r="10" spans="1:16" ht="13.5" thickBot="1" x14ac:dyDescent="0.25">
      <c r="A10" s="171"/>
      <c r="B10" s="116" t="s">
        <v>12</v>
      </c>
      <c r="C10" s="114">
        <v>6</v>
      </c>
      <c r="D10" s="148"/>
      <c r="E10" s="4" t="str">
        <f>"Main Fuel (gal)        ="</f>
        <v>Main Fuel (gal)        =</v>
      </c>
      <c r="F10" s="3"/>
      <c r="G10" s="63">
        <v>30</v>
      </c>
      <c r="H10" s="148"/>
      <c r="I10" s="317" t="s">
        <v>44</v>
      </c>
      <c r="J10" s="752">
        <f>IF(I10="","",N10/L10)</f>
        <v>96.209713073908375</v>
      </c>
      <c r="K10" s="753"/>
      <c r="L10" s="746">
        <v>2668.98</v>
      </c>
      <c r="M10" s="747"/>
      <c r="N10" s="89">
        <v>256781.8</v>
      </c>
      <c r="O10" s="148"/>
      <c r="P10" s="147"/>
    </row>
    <row r="11" spans="1:16" ht="13.5" thickBot="1" x14ac:dyDescent="0.25">
      <c r="A11" s="171"/>
      <c r="B11" s="116" t="s">
        <v>13</v>
      </c>
      <c r="C11" s="368">
        <v>10</v>
      </c>
      <c r="D11" s="148"/>
      <c r="E11" s="4" t="s">
        <v>27</v>
      </c>
      <c r="F11" s="3"/>
      <c r="G11" s="63">
        <v>1.5</v>
      </c>
      <c r="H11" s="148"/>
      <c r="I11" s="84"/>
      <c r="J11" s="750" t="str">
        <f>IF(I11="","",N11/L11)</f>
        <v/>
      </c>
      <c r="K11" s="751"/>
      <c r="L11" s="748"/>
      <c r="M11" s="749"/>
      <c r="N11" s="86"/>
      <c r="O11" s="148"/>
      <c r="P11" s="147"/>
    </row>
    <row r="12" spans="1:16" ht="13.5" thickBot="1" x14ac:dyDescent="0.25">
      <c r="A12" s="171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239"/>
    </row>
    <row r="13" spans="1:16" ht="13.5" thickBot="1" x14ac:dyDescent="0.25">
      <c r="A13" s="171"/>
      <c r="B13" s="148"/>
      <c r="C13" s="148"/>
      <c r="D13" s="148"/>
      <c r="E13" s="148"/>
      <c r="F13" s="148"/>
      <c r="G13" s="148"/>
      <c r="H13" s="744" t="s">
        <v>37</v>
      </c>
      <c r="I13" s="745"/>
      <c r="J13" s="160"/>
      <c r="K13" s="160"/>
      <c r="L13" s="160"/>
      <c r="M13" s="148"/>
      <c r="N13" s="158"/>
      <c r="O13" s="158"/>
      <c r="P13" s="222"/>
    </row>
    <row r="14" spans="1:16" s="38" customFormat="1" x14ac:dyDescent="0.2">
      <c r="A14" s="171"/>
      <c r="B14" s="98" t="s">
        <v>2</v>
      </c>
      <c r="C14" s="91" t="s">
        <v>0</v>
      </c>
      <c r="D14" s="99" t="s">
        <v>3</v>
      </c>
      <c r="E14" s="92" t="s">
        <v>1</v>
      </c>
      <c r="F14" s="160"/>
      <c r="G14" s="160"/>
      <c r="H14" s="148"/>
      <c r="I14" s="148"/>
      <c r="J14" s="148"/>
      <c r="K14" s="148"/>
      <c r="L14" s="148"/>
      <c r="M14" s="160"/>
      <c r="N14" s="193">
        <v>101.6</v>
      </c>
      <c r="O14" s="193">
        <f>C17</f>
        <v>2668.98</v>
      </c>
      <c r="P14" s="222"/>
    </row>
    <row r="15" spans="1:16" x14ac:dyDescent="0.2">
      <c r="A15" s="171"/>
      <c r="B15" s="340" t="str">
        <f>IF(C4=I10,I10,I11)</f>
        <v>769GA</v>
      </c>
      <c r="C15" s="46"/>
      <c r="D15" s="12"/>
      <c r="E15" s="47"/>
      <c r="F15" s="148"/>
      <c r="G15" s="148"/>
      <c r="H15" s="148"/>
      <c r="I15" s="148"/>
      <c r="J15" s="148"/>
      <c r="K15" s="148"/>
      <c r="L15" s="148"/>
      <c r="M15" s="151"/>
      <c r="N15" s="193">
        <v>93.3</v>
      </c>
      <c r="O15" s="193">
        <f>C17</f>
        <v>2668.98</v>
      </c>
      <c r="P15" s="222"/>
    </row>
    <row r="16" spans="1:16" x14ac:dyDescent="0.2">
      <c r="A16" s="171"/>
      <c r="B16" s="52"/>
      <c r="C16" s="31"/>
      <c r="D16" s="49"/>
      <c r="E16" s="41"/>
      <c r="F16" s="148"/>
      <c r="G16" s="148"/>
      <c r="H16" s="148"/>
      <c r="I16" s="148"/>
      <c r="J16" s="148"/>
      <c r="K16" s="148"/>
      <c r="L16" s="148"/>
      <c r="M16" s="151"/>
      <c r="N16" s="193">
        <v>93.3</v>
      </c>
      <c r="O16" s="193">
        <v>2900</v>
      </c>
      <c r="P16" s="222"/>
    </row>
    <row r="17" spans="1:16" x14ac:dyDescent="0.2">
      <c r="A17" s="171"/>
      <c r="B17" s="53" t="str">
        <f>IF(C17=" "," ","Empty Weight")</f>
        <v>Empty Weight</v>
      </c>
      <c r="C17" s="40">
        <f>IF(B15=I10,L10,0)</f>
        <v>2668.98</v>
      </c>
      <c r="D17" s="18">
        <f>IF(B15=I10,(N10/L10),0)</f>
        <v>96.209713073908375</v>
      </c>
      <c r="E17" s="48">
        <f>IF(B15=I10,N10,0)</f>
        <v>256781.8</v>
      </c>
      <c r="F17" s="328"/>
      <c r="G17" s="148"/>
      <c r="H17" s="148"/>
      <c r="I17" s="148"/>
      <c r="J17" s="148"/>
      <c r="K17" s="148"/>
      <c r="L17" s="148"/>
      <c r="M17" s="151"/>
      <c r="N17" s="193">
        <v>97.8</v>
      </c>
      <c r="O17" s="193">
        <v>3800</v>
      </c>
      <c r="P17" s="222"/>
    </row>
    <row r="18" spans="1:16" x14ac:dyDescent="0.2">
      <c r="A18" s="171"/>
      <c r="B18" s="330" t="s">
        <v>81</v>
      </c>
      <c r="C18" s="40">
        <f>IF(B15="",0,C6+C7)</f>
        <v>345</v>
      </c>
      <c r="D18" s="19">
        <v>91</v>
      </c>
      <c r="E18" s="48">
        <f>IF(C18="","",C18*D18)</f>
        <v>31395</v>
      </c>
      <c r="F18" s="328"/>
      <c r="G18" s="233"/>
      <c r="H18" s="148"/>
      <c r="I18" s="148"/>
      <c r="J18" s="148"/>
      <c r="K18" s="148"/>
      <c r="L18" s="148"/>
      <c r="M18" s="151"/>
      <c r="N18" s="193">
        <v>101.6</v>
      </c>
      <c r="O18" s="193">
        <v>3800</v>
      </c>
      <c r="P18" s="222"/>
    </row>
    <row r="19" spans="1:16" x14ac:dyDescent="0.2">
      <c r="A19" s="171"/>
      <c r="B19" s="330" t="s">
        <v>82</v>
      </c>
      <c r="C19" s="40">
        <f>IF(B15="",0,C8+C9)</f>
        <v>20</v>
      </c>
      <c r="D19" s="19">
        <v>128</v>
      </c>
      <c r="E19" s="48">
        <f>IF(C19="","",C19*D19)</f>
        <v>2560</v>
      </c>
      <c r="F19" s="328"/>
      <c r="G19" s="233"/>
      <c r="H19" s="232"/>
      <c r="I19" s="232"/>
      <c r="J19" s="232"/>
      <c r="K19" s="232"/>
      <c r="L19" s="232"/>
      <c r="M19" s="151"/>
      <c r="N19" s="193">
        <v>101.6</v>
      </c>
      <c r="O19" s="193">
        <f>C17</f>
        <v>2668.98</v>
      </c>
      <c r="P19" s="222"/>
    </row>
    <row r="20" spans="1:16" x14ac:dyDescent="0.2">
      <c r="A20" s="171"/>
      <c r="B20" s="53" t="s">
        <v>38</v>
      </c>
      <c r="C20" s="40">
        <f>IF(B15=0,0,C10)</f>
        <v>6</v>
      </c>
      <c r="D20" s="19">
        <v>26</v>
      </c>
      <c r="E20" s="48">
        <f>IF(C20="","",C20*D20)</f>
        <v>156</v>
      </c>
      <c r="F20" s="328"/>
      <c r="G20" s="233"/>
      <c r="H20" s="232"/>
      <c r="I20" s="232"/>
      <c r="J20" s="232"/>
      <c r="K20" s="232"/>
      <c r="L20" s="232"/>
      <c r="M20" s="151"/>
      <c r="N20" s="193"/>
      <c r="O20" s="193"/>
      <c r="P20" s="222"/>
    </row>
    <row r="21" spans="1:16" x14ac:dyDescent="0.2">
      <c r="A21" s="171"/>
      <c r="B21" s="54" t="s">
        <v>13</v>
      </c>
      <c r="C21" s="40">
        <f>IF(B15=0,0,C11)</f>
        <v>10</v>
      </c>
      <c r="D21" s="19">
        <v>160</v>
      </c>
      <c r="E21" s="48">
        <f>IF(C21="","",C21*D21)</f>
        <v>1600</v>
      </c>
      <c r="F21" s="328"/>
      <c r="G21" s="233"/>
      <c r="H21" s="232"/>
      <c r="I21" s="232"/>
      <c r="J21" s="232"/>
      <c r="K21" s="232"/>
      <c r="L21" s="232"/>
      <c r="M21" s="151"/>
      <c r="N21" s="193">
        <f>D26</f>
        <v>98.053610074467898</v>
      </c>
      <c r="O21" s="193">
        <f>C26</f>
        <v>3520.98</v>
      </c>
      <c r="P21" s="222"/>
    </row>
    <row r="22" spans="1:16" x14ac:dyDescent="0.2">
      <c r="A22" s="171"/>
      <c r="B22" s="100" t="s">
        <v>16</v>
      </c>
      <c r="C22" s="101">
        <f>IF(C17=0,0,SUM(C17:C21))</f>
        <v>3049.98</v>
      </c>
      <c r="D22" s="94">
        <f>IF(C22=0,0,E22/C22)</f>
        <v>95.899907540377313</v>
      </c>
      <c r="E22" s="102">
        <f>IF(B15="",0,SUM(E17:E21))</f>
        <v>292492.79999999999</v>
      </c>
      <c r="F22" s="329"/>
      <c r="G22" s="233"/>
      <c r="H22" s="232"/>
      <c r="I22" s="232"/>
      <c r="J22" s="232"/>
      <c r="K22" s="232"/>
      <c r="L22" s="232"/>
      <c r="M22" s="151"/>
      <c r="N22" s="193">
        <f>D30</f>
        <v>97.302228687391121</v>
      </c>
      <c r="O22" s="193">
        <f>C30</f>
        <v>3340.98</v>
      </c>
      <c r="P22" s="222"/>
    </row>
    <row r="23" spans="1:16" x14ac:dyDescent="0.2">
      <c r="A23" s="171"/>
      <c r="B23" s="54" t="str">
        <f>"Main Fuel"</f>
        <v>Main Fuel</v>
      </c>
      <c r="C23" s="22">
        <f>IF(C17=0,0,IF(N5="",G5*6,N5*6))</f>
        <v>480</v>
      </c>
      <c r="D23" s="19">
        <v>112</v>
      </c>
      <c r="E23" s="48">
        <f>IF(C23=0,0,C23*D23)</f>
        <v>53760</v>
      </c>
      <c r="F23" s="148"/>
      <c r="G23" s="148"/>
      <c r="H23" s="148"/>
      <c r="I23" s="148"/>
      <c r="J23" s="148"/>
      <c r="K23" s="148"/>
      <c r="L23" s="148"/>
      <c r="M23" s="151"/>
      <c r="N23" s="193">
        <f>D22</f>
        <v>95.899907540377313</v>
      </c>
      <c r="O23" s="193">
        <f>C22</f>
        <v>3049.98</v>
      </c>
      <c r="P23" s="222"/>
    </row>
    <row r="24" spans="1:16" x14ac:dyDescent="0.2">
      <c r="A24" s="171"/>
      <c r="B24" s="330"/>
      <c r="C24" s="332"/>
      <c r="D24" s="49"/>
      <c r="E24" s="41"/>
      <c r="F24" s="148"/>
      <c r="G24" s="148"/>
      <c r="H24" s="148"/>
      <c r="I24" s="148"/>
      <c r="J24" s="148"/>
      <c r="K24" s="148"/>
      <c r="L24" s="148"/>
      <c r="M24" s="151"/>
      <c r="N24" s="193"/>
      <c r="O24" s="193"/>
      <c r="P24" s="222"/>
    </row>
    <row r="25" spans="1:16" x14ac:dyDescent="0.2">
      <c r="A25" s="171"/>
      <c r="B25" s="54" t="s">
        <v>28</v>
      </c>
      <c r="C25" s="56">
        <f>IF(B15="See Other Chart",0,G11*6)</f>
        <v>9</v>
      </c>
      <c r="D25" s="19">
        <v>112</v>
      </c>
      <c r="E25" s="48">
        <f>IF(C25=0,0,C25*D25)*-1</f>
        <v>-1008</v>
      </c>
      <c r="F25" s="328"/>
      <c r="G25" s="148"/>
      <c r="H25" s="148"/>
      <c r="I25" s="148"/>
      <c r="J25" s="148"/>
      <c r="K25" s="148"/>
      <c r="L25" s="148"/>
      <c r="M25" s="151"/>
      <c r="N25" s="193">
        <f>D17</f>
        <v>96.209713073908375</v>
      </c>
      <c r="O25" s="193">
        <f>C17</f>
        <v>2668.98</v>
      </c>
      <c r="P25" s="222"/>
    </row>
    <row r="26" spans="1:16" x14ac:dyDescent="0.2">
      <c r="A26" s="171"/>
      <c r="B26" s="100" t="s">
        <v>4</v>
      </c>
      <c r="C26" s="101">
        <f>IF(B15="","",C22+C23-C25)</f>
        <v>3520.98</v>
      </c>
      <c r="D26" s="94">
        <f>IF(C26=0,0,E26/C26)</f>
        <v>98.053610074467898</v>
      </c>
      <c r="E26" s="102">
        <f>SUM(E22:E23,E25)</f>
        <v>345244.8</v>
      </c>
      <c r="F26" s="329"/>
      <c r="G26" s="148"/>
      <c r="H26" s="148"/>
      <c r="I26" s="148"/>
      <c r="J26" s="148"/>
      <c r="K26" s="148"/>
      <c r="L26" s="148"/>
      <c r="M26" s="151"/>
      <c r="N26" s="196"/>
      <c r="O26" s="196"/>
      <c r="P26" s="507"/>
    </row>
    <row r="27" spans="1:16" x14ac:dyDescent="0.2">
      <c r="A27" s="171"/>
      <c r="B27" s="55"/>
      <c r="C27" s="42"/>
      <c r="D27" s="50"/>
      <c r="E27" s="59"/>
      <c r="F27" s="148"/>
      <c r="G27" s="148"/>
      <c r="H27" s="148"/>
      <c r="I27" s="148"/>
      <c r="J27" s="148"/>
      <c r="K27" s="148"/>
      <c r="L27" s="148"/>
      <c r="M27" s="151"/>
      <c r="N27" s="193">
        <f>N21</f>
        <v>98.053610074467898</v>
      </c>
      <c r="O27" s="193">
        <f>O21</f>
        <v>3520.98</v>
      </c>
      <c r="P27" s="508"/>
    </row>
    <row r="28" spans="1:16" x14ac:dyDescent="0.2">
      <c r="A28" s="171"/>
      <c r="B28" s="54"/>
      <c r="C28" s="31"/>
      <c r="D28" s="39"/>
      <c r="E28" s="44"/>
      <c r="F28" s="148"/>
      <c r="G28" s="148"/>
      <c r="H28" s="148"/>
      <c r="I28" s="148"/>
      <c r="J28" s="148"/>
      <c r="K28" s="148"/>
      <c r="L28" s="148"/>
      <c r="M28" s="151"/>
      <c r="N28" s="193">
        <f>IF(B15="","",(SUM(E22,N32,E25)/O28))</f>
        <v>98.817389623568445</v>
      </c>
      <c r="O28" s="193">
        <f>IF(B15="","",(C22+N30-C25))</f>
        <v>3724.98</v>
      </c>
      <c r="P28" s="222"/>
    </row>
    <row r="29" spans="1:16" x14ac:dyDescent="0.2">
      <c r="A29" s="171"/>
      <c r="B29" s="54" t="s">
        <v>14</v>
      </c>
      <c r="C29" s="43">
        <f>IF(C17=0,0,(G10*6)*-1)</f>
        <v>-180</v>
      </c>
      <c r="D29" s="51">
        <v>112</v>
      </c>
      <c r="E29" s="45">
        <f>IF(C29=0,0,C29*D29)</f>
        <v>-20160</v>
      </c>
      <c r="F29" s="328"/>
      <c r="G29" s="148"/>
      <c r="H29" s="148"/>
      <c r="I29" s="148"/>
      <c r="J29" s="148"/>
      <c r="K29" s="148"/>
      <c r="L29" s="148"/>
      <c r="M29" s="151"/>
      <c r="N29" s="331"/>
      <c r="O29" s="196"/>
      <c r="P29" s="222"/>
    </row>
    <row r="30" spans="1:16" ht="13.5" thickBot="1" x14ac:dyDescent="0.25">
      <c r="A30" s="171"/>
      <c r="B30" s="337" t="s">
        <v>5</v>
      </c>
      <c r="C30" s="338">
        <f>IF(C26=0,0,C26+C29)</f>
        <v>3340.98</v>
      </c>
      <c r="D30" s="97">
        <f>IF(C30=0,0,E30/C30)</f>
        <v>97.302228687391121</v>
      </c>
      <c r="E30" s="339">
        <f>IF(E26=0,0,E26+E27+E29)</f>
        <v>325084.79999999999</v>
      </c>
      <c r="F30" s="148"/>
      <c r="G30" s="153"/>
      <c r="H30" s="148"/>
      <c r="I30" s="148"/>
      <c r="J30" s="148"/>
      <c r="K30" s="148"/>
      <c r="L30" s="148"/>
      <c r="M30" s="151"/>
      <c r="N30" s="524">
        <v>684</v>
      </c>
      <c r="O30" s="196"/>
      <c r="P30" s="222"/>
    </row>
    <row r="31" spans="1:16" x14ac:dyDescent="0.2">
      <c r="A31" s="171"/>
      <c r="B31" s="334" t="s">
        <v>72</v>
      </c>
      <c r="C31" s="335">
        <f>O18-O14</f>
        <v>1131.02</v>
      </c>
      <c r="D31" s="333"/>
      <c r="E31" s="336"/>
      <c r="F31" s="148"/>
      <c r="G31" s="148"/>
      <c r="H31" s="148"/>
      <c r="I31" s="148"/>
      <c r="J31" s="148"/>
      <c r="K31" s="148"/>
      <c r="L31" s="148"/>
      <c r="M31" s="148"/>
      <c r="N31" s="524">
        <v>112</v>
      </c>
      <c r="O31" s="196"/>
      <c r="P31" s="222"/>
    </row>
    <row r="32" spans="1:16" ht="13.5" thickBot="1" x14ac:dyDescent="0.25">
      <c r="A32" s="171"/>
      <c r="B32" s="273" t="s">
        <v>93</v>
      </c>
      <c r="C32" s="271">
        <f>(O18-O14)-C23</f>
        <v>651.02</v>
      </c>
      <c r="D32" s="274"/>
      <c r="E32" s="275"/>
      <c r="F32" s="186"/>
      <c r="G32" s="148"/>
      <c r="H32" s="172"/>
      <c r="I32" s="308" t="s">
        <v>79</v>
      </c>
      <c r="J32" s="180"/>
      <c r="K32" s="164"/>
      <c r="L32" s="148"/>
      <c r="M32" s="148"/>
      <c r="N32" s="525">
        <v>76608</v>
      </c>
      <c r="O32" s="196"/>
      <c r="P32" s="222"/>
    </row>
    <row r="33" spans="1:16" ht="13.5" thickBot="1" x14ac:dyDescent="0.25">
      <c r="A33" s="171"/>
      <c r="B33" s="258" t="s">
        <v>73</v>
      </c>
      <c r="C33" s="270">
        <f>IF(C31="","",C31-(C23+C6+C8+C10+C11))</f>
        <v>430.02</v>
      </c>
      <c r="D33" s="754" t="str">
        <f>IF(C33&lt;0,"&lt;&lt;&lt;&lt;&lt;&lt;  Over Loaded! ","")</f>
        <v/>
      </c>
      <c r="E33" s="755"/>
      <c r="F33" s="186"/>
      <c r="G33" s="153"/>
      <c r="H33" s="153"/>
      <c r="I33" s="296">
        <v>25</v>
      </c>
      <c r="J33" s="153"/>
      <c r="K33" s="168"/>
      <c r="L33" s="148"/>
      <c r="M33" s="148"/>
      <c r="N33" s="331"/>
      <c r="O33" s="196"/>
      <c r="P33" s="222"/>
    </row>
    <row r="34" spans="1:16" x14ac:dyDescent="0.2">
      <c r="A34" s="171"/>
      <c r="B34" s="135"/>
      <c r="C34" s="135"/>
      <c r="D34" s="135"/>
      <c r="E34" s="135"/>
      <c r="F34" s="136"/>
      <c r="G34" s="299" t="s">
        <v>71</v>
      </c>
      <c r="H34" s="141">
        <v>210</v>
      </c>
      <c r="I34" s="295" t="s">
        <v>74</v>
      </c>
      <c r="J34" s="141"/>
      <c r="K34" s="187"/>
      <c r="L34" s="242"/>
      <c r="M34" s="242"/>
      <c r="N34" s="158"/>
      <c r="O34" s="158"/>
      <c r="P34" s="222"/>
    </row>
    <row r="35" spans="1:16" x14ac:dyDescent="0.2">
      <c r="A35" s="171"/>
      <c r="B35" s="135"/>
      <c r="C35" s="135"/>
      <c r="D35" s="135"/>
      <c r="E35" s="135"/>
      <c r="F35" s="135"/>
      <c r="G35" s="299" t="s">
        <v>70</v>
      </c>
      <c r="H35" s="141">
        <v>10</v>
      </c>
      <c r="I35" s="295" t="s">
        <v>76</v>
      </c>
      <c r="J35" s="141">
        <v>15</v>
      </c>
      <c r="K35" s="302"/>
      <c r="L35" s="242"/>
      <c r="M35" s="242"/>
      <c r="N35" s="158"/>
      <c r="O35" s="158"/>
      <c r="P35" s="222"/>
    </row>
    <row r="36" spans="1:16" x14ac:dyDescent="0.2">
      <c r="A36" s="171"/>
      <c r="B36" s="242"/>
      <c r="C36" s="242"/>
      <c r="D36" s="242"/>
      <c r="E36" s="242"/>
      <c r="F36" s="242"/>
      <c r="G36" s="135"/>
      <c r="H36" s="153"/>
      <c r="I36" s="153"/>
      <c r="J36" s="153"/>
      <c r="K36" s="153"/>
      <c r="L36" s="243"/>
      <c r="M36" s="243"/>
      <c r="N36" s="158"/>
      <c r="O36" s="158"/>
      <c r="P36" s="222"/>
    </row>
    <row r="37" spans="1:16" x14ac:dyDescent="0.2">
      <c r="A37" s="171"/>
      <c r="B37" s="615"/>
      <c r="C37" s="615"/>
      <c r="D37" s="139"/>
      <c r="E37" s="142"/>
      <c r="F37" s="139"/>
      <c r="G37" s="613" t="s">
        <v>78</v>
      </c>
      <c r="H37" s="614"/>
      <c r="I37" s="194">
        <f>IF(H35="","",H35*ABS(SIN(RADIANS(H34-(I33*10)))))</f>
        <v>6.4278760968653925</v>
      </c>
      <c r="J37" s="137" t="s">
        <v>75</v>
      </c>
      <c r="K37" s="194">
        <f>IF(J35="","",J35*ABS(SIN(RADIANS(H34-(I33*10)))))</f>
        <v>9.6418141452980883</v>
      </c>
      <c r="L37" s="298"/>
      <c r="M37" s="140"/>
      <c r="N37" s="294"/>
      <c r="O37" s="158"/>
      <c r="P37" s="222"/>
    </row>
    <row r="38" spans="1:16" x14ac:dyDescent="0.2">
      <c r="A38" s="171"/>
      <c r="B38" s="143"/>
      <c r="C38" s="144"/>
      <c r="D38" s="138"/>
      <c r="E38" s="139"/>
      <c r="F38" s="143"/>
      <c r="G38" s="613" t="s">
        <v>77</v>
      </c>
      <c r="H38" s="614"/>
      <c r="I38" s="194" t="str">
        <f>IF(J34="","",H35*ABS(SIN(RADIANS(H34-(I33*10)))))</f>
        <v/>
      </c>
      <c r="J38" s="195" t="s">
        <v>75</v>
      </c>
      <c r="K38" s="194" t="str">
        <f>IF(J34="","",IF(J35="",H35*ABS(SIN(RADIANS(J34-(I33*10)))),J35*ABS(SIN(RADIANS(J34-(I33*10))))))</f>
        <v/>
      </c>
      <c r="L38" s="297"/>
      <c r="M38" s="148"/>
      <c r="N38" s="148"/>
      <c r="O38" s="148"/>
      <c r="P38" s="229"/>
    </row>
    <row r="39" spans="1:16" ht="13.5" thickBot="1" x14ac:dyDescent="0.25">
      <c r="A39" s="181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230"/>
      <c r="P39" s="231"/>
    </row>
  </sheetData>
  <mergeCells count="16">
    <mergeCell ref="B2:O2"/>
    <mergeCell ref="I9:N9"/>
    <mergeCell ref="I5:M5"/>
    <mergeCell ref="E9:G9"/>
    <mergeCell ref="I4:N4"/>
    <mergeCell ref="I6:M6"/>
    <mergeCell ref="E4:G4"/>
    <mergeCell ref="G38:H38"/>
    <mergeCell ref="B37:C37"/>
    <mergeCell ref="H13:I13"/>
    <mergeCell ref="L10:M10"/>
    <mergeCell ref="L11:M11"/>
    <mergeCell ref="J11:K11"/>
    <mergeCell ref="J10:K10"/>
    <mergeCell ref="D33:E33"/>
    <mergeCell ref="G37:H37"/>
  </mergeCells>
  <phoneticPr fontId="5" type="noConversion"/>
  <dataValidations count="1">
    <dataValidation type="list" allowBlank="1" showInputMessage="1" showErrorMessage="1" sqref="C4" xr:uid="{00000000-0002-0000-0F00-000000000000}">
      <formula1>$I$10:$I$11</formula1>
    </dataValidation>
  </dataValidations>
  <pageMargins left="0.7" right="0.7" top="0.75" bottom="0.75" header="0.3" footer="0.3"/>
  <pageSetup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P39"/>
  <sheetViews>
    <sheetView zoomScale="90" zoomScaleNormal="90" workbookViewId="0">
      <selection activeCell="P1" sqref="P1:P1048576"/>
    </sheetView>
  </sheetViews>
  <sheetFormatPr defaultRowHeight="12.75" x14ac:dyDescent="0.2"/>
  <cols>
    <col min="1" max="1" width="2.7109375" customWidth="1"/>
    <col min="2" max="2" width="21.5703125" customWidth="1"/>
    <col min="3" max="4" width="9.28515625" customWidth="1"/>
    <col min="5" max="5" width="10.140625" customWidth="1"/>
    <col min="7" max="7" width="14.85546875" customWidth="1"/>
    <col min="9" max="10" width="10" customWidth="1"/>
    <col min="11" max="11" width="9" customWidth="1"/>
    <col min="12" max="12" width="9.85546875" customWidth="1"/>
    <col min="13" max="13" width="2.7109375" customWidth="1"/>
    <col min="14" max="14" width="9.85546875" customWidth="1"/>
    <col min="15" max="15" width="7.7109375" customWidth="1"/>
    <col min="16" max="16" width="2.7109375" customWidth="1"/>
  </cols>
  <sheetData>
    <row r="1" spans="1:16" ht="13.5" thickBot="1" x14ac:dyDescent="0.25">
      <c r="A1" s="169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45"/>
    </row>
    <row r="2" spans="1:16" ht="13.5" thickBot="1" x14ac:dyDescent="0.25">
      <c r="A2" s="171"/>
      <c r="B2" s="619" t="s">
        <v>42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1"/>
      <c r="P2" s="146"/>
    </row>
    <row r="3" spans="1:16" ht="13.5" thickBot="1" x14ac:dyDescent="0.25">
      <c r="A3" s="171"/>
      <c r="B3" s="148"/>
      <c r="C3" s="148"/>
      <c r="D3" s="148"/>
      <c r="E3" s="148"/>
      <c r="F3" s="161"/>
      <c r="G3" s="148"/>
      <c r="H3" s="148"/>
      <c r="I3" s="175"/>
      <c r="J3" s="175"/>
      <c r="K3" s="175"/>
      <c r="L3" s="148"/>
      <c r="M3" s="148"/>
      <c r="N3" s="148"/>
      <c r="O3" s="148"/>
      <c r="P3" s="146"/>
    </row>
    <row r="4" spans="1:16" ht="13.5" thickBot="1" x14ac:dyDescent="0.25">
      <c r="A4" s="171"/>
      <c r="B4" s="4" t="s">
        <v>33</v>
      </c>
      <c r="C4" s="134">
        <v>79534</v>
      </c>
      <c r="D4" s="148"/>
      <c r="E4" s="634" t="s">
        <v>45</v>
      </c>
      <c r="F4" s="637"/>
      <c r="G4" s="635"/>
      <c r="H4" s="149"/>
      <c r="I4" s="634" t="s">
        <v>19</v>
      </c>
      <c r="J4" s="637"/>
      <c r="K4" s="637"/>
      <c r="L4" s="635"/>
      <c r="M4" s="149"/>
      <c r="N4" s="148"/>
      <c r="O4" s="150"/>
      <c r="P4" s="146"/>
    </row>
    <row r="5" spans="1:16" ht="13.5" thickBot="1" x14ac:dyDescent="0.25">
      <c r="A5" s="171"/>
      <c r="B5" s="148"/>
      <c r="C5" s="148"/>
      <c r="D5" s="148"/>
      <c r="E5" s="4" t="s">
        <v>30</v>
      </c>
      <c r="F5" s="14"/>
      <c r="G5" s="63">
        <v>30</v>
      </c>
      <c r="H5" s="149"/>
      <c r="I5" s="320">
        <v>79534</v>
      </c>
      <c r="J5" s="314">
        <f t="shared" ref="J5:J10" si="0">IF(I5="","",L5/K5)</f>
        <v>38.416666666666664</v>
      </c>
      <c r="K5" s="315">
        <v>1404</v>
      </c>
      <c r="L5" s="316">
        <v>53937</v>
      </c>
      <c r="M5" s="149"/>
      <c r="N5" s="148"/>
      <c r="O5" s="150"/>
      <c r="P5" s="146"/>
    </row>
    <row r="6" spans="1:16" ht="13.5" thickBot="1" x14ac:dyDescent="0.25">
      <c r="A6" s="171"/>
      <c r="B6" s="148"/>
      <c r="C6" s="148"/>
      <c r="D6" s="148"/>
      <c r="E6" s="148"/>
      <c r="F6" s="161"/>
      <c r="G6" s="161"/>
      <c r="H6" s="148"/>
      <c r="I6" s="82" t="s">
        <v>49</v>
      </c>
      <c r="J6" s="311">
        <f t="shared" si="0"/>
        <v>38.372549019607845</v>
      </c>
      <c r="K6" s="76">
        <v>1479</v>
      </c>
      <c r="L6" s="78">
        <v>56753</v>
      </c>
      <c r="M6" s="148"/>
      <c r="N6" s="148"/>
      <c r="O6" s="148"/>
      <c r="P6" s="146"/>
    </row>
    <row r="7" spans="1:16" ht="13.5" thickBot="1" x14ac:dyDescent="0.25">
      <c r="A7" s="171"/>
      <c r="B7" s="148"/>
      <c r="C7" s="148"/>
      <c r="D7" s="148"/>
      <c r="E7" s="625" t="s">
        <v>40</v>
      </c>
      <c r="F7" s="626"/>
      <c r="G7" s="627"/>
      <c r="H7" s="148"/>
      <c r="I7" s="77"/>
      <c r="J7" s="311" t="str">
        <f t="shared" si="0"/>
        <v/>
      </c>
      <c r="K7" s="76"/>
      <c r="L7" s="78"/>
      <c r="M7" s="148"/>
      <c r="N7" s="148"/>
      <c r="O7" s="148"/>
      <c r="P7" s="146"/>
    </row>
    <row r="8" spans="1:16" ht="13.5" thickBot="1" x14ac:dyDescent="0.25">
      <c r="A8" s="171"/>
      <c r="B8" s="116" t="s">
        <v>87</v>
      </c>
      <c r="C8" s="110">
        <v>195</v>
      </c>
      <c r="D8" s="148"/>
      <c r="E8" s="628" t="str">
        <f>"Total Fuel (gal)    ="</f>
        <v>Total Fuel (gal)    =</v>
      </c>
      <c r="F8" s="629"/>
      <c r="G8" s="62"/>
      <c r="H8" s="148"/>
      <c r="I8" s="77"/>
      <c r="J8" s="311" t="str">
        <f t="shared" si="0"/>
        <v/>
      </c>
      <c r="K8" s="76"/>
      <c r="L8" s="78"/>
      <c r="M8" s="148"/>
      <c r="N8" s="148"/>
      <c r="O8" s="148"/>
      <c r="P8" s="146"/>
    </row>
    <row r="9" spans="1:16" ht="13.5" thickBot="1" x14ac:dyDescent="0.25">
      <c r="A9" s="171"/>
      <c r="B9" s="116" t="s">
        <v>89</v>
      </c>
      <c r="C9" s="65">
        <v>125</v>
      </c>
      <c r="D9" s="148"/>
      <c r="E9" s="148"/>
      <c r="F9" s="148"/>
      <c r="G9" s="148"/>
      <c r="H9" s="148"/>
      <c r="I9" s="77"/>
      <c r="J9" s="311" t="str">
        <f t="shared" si="0"/>
        <v/>
      </c>
      <c r="K9" s="76"/>
      <c r="L9" s="78"/>
      <c r="M9" s="151"/>
      <c r="N9" s="151"/>
      <c r="O9" s="151"/>
      <c r="P9" s="146"/>
    </row>
    <row r="10" spans="1:16" ht="13.15" customHeight="1" thickBot="1" x14ac:dyDescent="0.25">
      <c r="A10" s="171"/>
      <c r="B10" s="74" t="s">
        <v>90</v>
      </c>
      <c r="C10" s="65"/>
      <c r="D10" s="148"/>
      <c r="E10" s="616" t="s">
        <v>22</v>
      </c>
      <c r="F10" s="617"/>
      <c r="G10" s="618"/>
      <c r="H10" s="148"/>
      <c r="I10" s="83"/>
      <c r="J10" s="312" t="str">
        <f t="shared" si="0"/>
        <v/>
      </c>
      <c r="K10" s="80"/>
      <c r="L10" s="81"/>
      <c r="M10" s="151"/>
      <c r="N10" s="151"/>
      <c r="O10" s="151"/>
      <c r="P10" s="146"/>
    </row>
    <row r="11" spans="1:16" ht="13.15" customHeight="1" thickBot="1" x14ac:dyDescent="0.25">
      <c r="A11" s="171"/>
      <c r="B11" s="74" t="s">
        <v>91</v>
      </c>
      <c r="C11" s="65"/>
      <c r="D11" s="148"/>
      <c r="E11" s="24" t="str">
        <f>"Total Fuel (gal)       ="</f>
        <v>Total Fuel (gal)       =</v>
      </c>
      <c r="F11" s="11"/>
      <c r="G11" s="64">
        <v>10</v>
      </c>
      <c r="H11" s="148"/>
      <c r="I11" s="636"/>
      <c r="J11" s="636"/>
      <c r="K11" s="636"/>
      <c r="L11" s="636"/>
      <c r="M11" s="151"/>
      <c r="N11" s="151"/>
      <c r="O11" s="151"/>
      <c r="P11" s="146"/>
    </row>
    <row r="12" spans="1:16" ht="13.15" customHeight="1" thickBot="1" x14ac:dyDescent="0.25">
      <c r="A12" s="171"/>
      <c r="B12" s="74" t="s">
        <v>94</v>
      </c>
      <c r="C12" s="62">
        <v>20</v>
      </c>
      <c r="D12" s="148"/>
      <c r="E12" s="15" t="s">
        <v>27</v>
      </c>
      <c r="F12" s="25"/>
      <c r="G12" s="66">
        <v>1.5</v>
      </c>
      <c r="H12" s="148"/>
      <c r="I12" s="148"/>
      <c r="J12" s="148"/>
      <c r="K12" s="148"/>
      <c r="L12" s="148"/>
      <c r="M12" s="152"/>
      <c r="N12" s="196"/>
      <c r="O12" s="196"/>
      <c r="P12" s="147"/>
    </row>
    <row r="13" spans="1:16" ht="13.5" thickBot="1" x14ac:dyDescent="0.25">
      <c r="A13" s="171"/>
      <c r="B13" s="74" t="s">
        <v>95</v>
      </c>
      <c r="C13" s="62"/>
      <c r="D13" s="148"/>
      <c r="E13" s="148"/>
      <c r="F13" s="159"/>
      <c r="G13" s="159"/>
      <c r="H13" s="159"/>
      <c r="I13" s="159"/>
      <c r="J13" s="159"/>
      <c r="K13" s="159"/>
      <c r="L13" s="158"/>
      <c r="M13" s="152"/>
      <c r="N13" s="193">
        <v>35</v>
      </c>
      <c r="O13" s="193">
        <f>C18</f>
        <v>1404</v>
      </c>
      <c r="P13" s="147"/>
    </row>
    <row r="14" spans="1:16" ht="13.5" thickBot="1" x14ac:dyDescent="0.25">
      <c r="A14" s="171"/>
      <c r="B14" s="148"/>
      <c r="C14" s="148"/>
      <c r="D14" s="148"/>
      <c r="E14" s="148"/>
      <c r="F14" s="161"/>
      <c r="G14" s="160"/>
      <c r="H14" s="634" t="s">
        <v>53</v>
      </c>
      <c r="I14" s="635"/>
      <c r="J14" s="174"/>
      <c r="K14" s="160"/>
      <c r="L14" s="158"/>
      <c r="M14" s="152"/>
      <c r="N14" s="193">
        <v>35</v>
      </c>
      <c r="O14" s="193">
        <v>1940</v>
      </c>
      <c r="P14" s="147"/>
    </row>
    <row r="15" spans="1:16" x14ac:dyDescent="0.2">
      <c r="A15" s="171"/>
      <c r="B15" s="90" t="s">
        <v>2</v>
      </c>
      <c r="C15" s="91" t="s">
        <v>0</v>
      </c>
      <c r="D15" s="91" t="s">
        <v>3</v>
      </c>
      <c r="E15" s="92" t="s">
        <v>1</v>
      </c>
      <c r="F15" s="161"/>
      <c r="G15" s="148"/>
      <c r="H15" s="148"/>
      <c r="I15" s="148"/>
      <c r="J15" s="148"/>
      <c r="K15" s="161"/>
      <c r="L15" s="158"/>
      <c r="M15" s="152"/>
      <c r="N15" s="193">
        <v>38.5</v>
      </c>
      <c r="O15" s="193">
        <v>2300</v>
      </c>
      <c r="P15" s="147"/>
    </row>
    <row r="16" spans="1:16" x14ac:dyDescent="0.2">
      <c r="A16" s="171"/>
      <c r="B16" s="30">
        <f>C4</f>
        <v>79534</v>
      </c>
      <c r="C16" s="7"/>
      <c r="D16" s="26"/>
      <c r="E16" s="5"/>
      <c r="F16" s="161"/>
      <c r="G16" s="148"/>
      <c r="H16" s="148"/>
      <c r="I16" s="148"/>
      <c r="J16" s="148"/>
      <c r="K16" s="148"/>
      <c r="L16" s="158"/>
      <c r="M16" s="152"/>
      <c r="N16" s="193">
        <v>47.4</v>
      </c>
      <c r="O16" s="193">
        <v>2300</v>
      </c>
      <c r="P16" s="147"/>
    </row>
    <row r="17" spans="1:16" x14ac:dyDescent="0.2">
      <c r="A17" s="171"/>
      <c r="B17" s="1"/>
      <c r="C17" s="9"/>
      <c r="D17" s="27"/>
      <c r="E17" s="6"/>
      <c r="F17" s="161"/>
      <c r="G17" s="148"/>
      <c r="H17" s="148"/>
      <c r="I17" s="148"/>
      <c r="J17" s="148"/>
      <c r="K17" s="148"/>
      <c r="L17" s="158"/>
      <c r="M17" s="152"/>
      <c r="N17" s="193">
        <v>47.4</v>
      </c>
      <c r="O17" s="193">
        <f>C18</f>
        <v>1404</v>
      </c>
      <c r="P17" s="147"/>
    </row>
    <row r="18" spans="1:16" x14ac:dyDescent="0.2">
      <c r="A18" s="171"/>
      <c r="B18" s="1" t="s">
        <v>31</v>
      </c>
      <c r="C18" s="9">
        <f>IF(B16=I5,K5,IF(B16=I6,K6,IF(B16=I7,K7,IF(B16=I8,K8,IF(B16=I9,K9,IF(B16=I10,K10," "))))))</f>
        <v>1404</v>
      </c>
      <c r="D18" s="28">
        <f>IF(C18=0,0,(E18/C18))</f>
        <v>38.416666666666664</v>
      </c>
      <c r="E18" s="71">
        <f>IF(B16=I5,L5,IF(B16=I6,L6,IF(B16=I7,L7,IF(B16=I8,L8,IF(B16=I9,L9,IF(B16=I10,L10," "))))))</f>
        <v>53937</v>
      </c>
      <c r="F18" s="148"/>
      <c r="G18" s="148"/>
      <c r="H18" s="148"/>
      <c r="I18" s="148"/>
      <c r="J18" s="148"/>
      <c r="K18" s="148"/>
      <c r="L18" s="158"/>
      <c r="M18" s="152"/>
      <c r="N18" s="193">
        <v>35</v>
      </c>
      <c r="O18" s="193">
        <f>C18</f>
        <v>1404</v>
      </c>
      <c r="P18" s="147"/>
    </row>
    <row r="19" spans="1:16" x14ac:dyDescent="0.2">
      <c r="A19" s="171"/>
      <c r="B19" s="73" t="s">
        <v>81</v>
      </c>
      <c r="C19" s="20">
        <f>IF(B16="",0,C8+C9)</f>
        <v>320</v>
      </c>
      <c r="D19" s="28">
        <v>40</v>
      </c>
      <c r="E19" s="17">
        <f>IF(C19=0,0,C19*D19)</f>
        <v>12800</v>
      </c>
      <c r="F19" s="148"/>
      <c r="G19" s="148"/>
      <c r="H19" s="150"/>
      <c r="I19" s="150"/>
      <c r="J19" s="150"/>
      <c r="K19" s="150"/>
      <c r="L19" s="158"/>
      <c r="M19" s="152"/>
      <c r="N19" s="193"/>
      <c r="O19" s="193"/>
      <c r="P19" s="147"/>
    </row>
    <row r="20" spans="1:16" x14ac:dyDescent="0.2">
      <c r="A20" s="171"/>
      <c r="B20" s="73" t="s">
        <v>82</v>
      </c>
      <c r="C20" s="20">
        <f>IF(B16="",0,C10+C11)</f>
        <v>0</v>
      </c>
      <c r="D20" s="28">
        <v>73</v>
      </c>
      <c r="E20" s="17">
        <f>IF(C20=0,0,C20*D20)</f>
        <v>0</v>
      </c>
      <c r="F20" s="148"/>
      <c r="G20" s="148"/>
      <c r="H20" s="148"/>
      <c r="I20" s="148"/>
      <c r="J20" s="148"/>
      <c r="K20" s="148"/>
      <c r="L20" s="158"/>
      <c r="M20" s="152"/>
      <c r="N20" s="193">
        <v>35</v>
      </c>
      <c r="O20" s="193">
        <f>IF(O13=1404,1404,1500)</f>
        <v>1404</v>
      </c>
      <c r="P20" s="147"/>
    </row>
    <row r="21" spans="1:16" x14ac:dyDescent="0.2">
      <c r="A21" s="171"/>
      <c r="B21" s="72" t="s">
        <v>94</v>
      </c>
      <c r="C21" s="20">
        <f>IF(B16="",0,C12)</f>
        <v>20</v>
      </c>
      <c r="D21" s="28">
        <v>95</v>
      </c>
      <c r="E21" s="17">
        <f>IF(C21=0,0,C21*D21)</f>
        <v>1900</v>
      </c>
      <c r="F21" s="148"/>
      <c r="G21" s="148"/>
      <c r="H21" s="161"/>
      <c r="I21" s="161"/>
      <c r="J21" s="161"/>
      <c r="K21" s="161"/>
      <c r="L21" s="158"/>
      <c r="M21" s="152"/>
      <c r="N21" s="193">
        <v>35</v>
      </c>
      <c r="O21" s="193">
        <v>1940</v>
      </c>
      <c r="P21" s="147"/>
    </row>
    <row r="22" spans="1:16" x14ac:dyDescent="0.2">
      <c r="A22" s="171"/>
      <c r="B22" s="72" t="s">
        <v>95</v>
      </c>
      <c r="C22" s="20">
        <f>IF(B16="",0,C13)</f>
        <v>0</v>
      </c>
      <c r="D22" s="28">
        <v>108</v>
      </c>
      <c r="E22" s="17">
        <f>IF(C22=0,0,C22*D22)</f>
        <v>0</v>
      </c>
      <c r="F22" s="148"/>
      <c r="G22" s="148"/>
      <c r="H22" s="161"/>
      <c r="I22" s="161"/>
      <c r="J22" s="161"/>
      <c r="K22" s="161"/>
      <c r="L22" s="158"/>
      <c r="M22" s="152"/>
      <c r="N22" s="193">
        <v>35.5</v>
      </c>
      <c r="O22" s="193">
        <v>2000</v>
      </c>
      <c r="P22" s="147"/>
    </row>
    <row r="23" spans="1:16" x14ac:dyDescent="0.2">
      <c r="A23" s="171"/>
      <c r="B23" s="93" t="s">
        <v>16</v>
      </c>
      <c r="C23" s="104">
        <f>IF(B16=0,0,SUM(C18:C22))</f>
        <v>1744</v>
      </c>
      <c r="D23" s="95">
        <f>E23/C23</f>
        <v>39.356077981651374</v>
      </c>
      <c r="E23" s="96">
        <f>IF(B16="See Other Chart",0,SUM(E18:E22))</f>
        <v>68637</v>
      </c>
      <c r="F23" s="148"/>
      <c r="G23" s="148"/>
      <c r="H23" s="148"/>
      <c r="I23" s="159"/>
      <c r="J23" s="159"/>
      <c r="K23" s="159"/>
      <c r="L23" s="158"/>
      <c r="M23" s="152"/>
      <c r="N23" s="193">
        <v>40.5</v>
      </c>
      <c r="O23" s="193">
        <v>2000</v>
      </c>
      <c r="P23" s="147"/>
    </row>
    <row r="24" spans="1:16" x14ac:dyDescent="0.2">
      <c r="A24" s="171"/>
      <c r="B24" s="1" t="s">
        <v>32</v>
      </c>
      <c r="C24" s="19">
        <f>IF(C18=0,0,IF(G8="",G5*6,G8*6))</f>
        <v>180</v>
      </c>
      <c r="D24" s="29">
        <v>48</v>
      </c>
      <c r="E24" s="17">
        <f>IF(C24=0,0,C24*D24)</f>
        <v>8640</v>
      </c>
      <c r="F24" s="148"/>
      <c r="G24" s="162"/>
      <c r="H24" s="162"/>
      <c r="I24" s="162"/>
      <c r="J24" s="162"/>
      <c r="K24" s="162"/>
      <c r="L24" s="158"/>
      <c r="M24" s="152"/>
      <c r="N24" s="193">
        <v>40.53</v>
      </c>
      <c r="O24" s="193">
        <f>C18</f>
        <v>1404</v>
      </c>
      <c r="P24" s="147"/>
    </row>
    <row r="25" spans="1:16" x14ac:dyDescent="0.2">
      <c r="A25" s="171"/>
      <c r="B25" s="1"/>
      <c r="C25" s="69"/>
      <c r="D25" s="22"/>
      <c r="E25" s="23"/>
      <c r="F25" s="148"/>
      <c r="G25" s="177"/>
      <c r="H25" s="178"/>
      <c r="I25" s="190"/>
      <c r="J25" s="190"/>
      <c r="K25" s="163"/>
      <c r="L25" s="158"/>
      <c r="M25" s="152"/>
      <c r="N25" s="193"/>
      <c r="O25" s="193"/>
      <c r="P25" s="147"/>
    </row>
    <row r="26" spans="1:16" x14ac:dyDescent="0.2">
      <c r="A26" s="171"/>
      <c r="B26" s="10" t="s">
        <v>28</v>
      </c>
      <c r="C26" s="58">
        <f>IF(B16="",0,G12*6)</f>
        <v>9</v>
      </c>
      <c r="D26" s="29">
        <v>48</v>
      </c>
      <c r="E26" s="17">
        <f>IF(C26=0,0,C26*D26)*-1</f>
        <v>-432</v>
      </c>
      <c r="F26" s="148"/>
      <c r="G26" s="177"/>
      <c r="H26" s="178"/>
      <c r="I26" s="190"/>
      <c r="J26" s="190"/>
      <c r="K26" s="163"/>
      <c r="L26" s="158"/>
      <c r="M26" s="152"/>
      <c r="N26" s="193">
        <f>D27</f>
        <v>40.127937336814618</v>
      </c>
      <c r="O26" s="193">
        <f>C27</f>
        <v>1915</v>
      </c>
      <c r="P26" s="147"/>
    </row>
    <row r="27" spans="1:16" x14ac:dyDescent="0.2">
      <c r="A27" s="171"/>
      <c r="B27" s="93" t="s">
        <v>4</v>
      </c>
      <c r="C27" s="104">
        <f>IF(B16="",0,SUM(C23:C24)-C26)</f>
        <v>1915</v>
      </c>
      <c r="D27" s="95">
        <f>IF(C27=0,0,E27/C27)</f>
        <v>40.127937336814618</v>
      </c>
      <c r="E27" s="96">
        <f>IF(B16="See Other Chart",0,SUM(E23:E26))</f>
        <v>76845</v>
      </c>
      <c r="F27" s="148"/>
      <c r="G27" s="177"/>
      <c r="H27" s="178"/>
      <c r="I27" s="190"/>
      <c r="J27" s="190"/>
      <c r="K27" s="163"/>
      <c r="L27" s="158"/>
      <c r="M27" s="152"/>
      <c r="N27" s="193">
        <f>D30</f>
        <v>39.873315363881403</v>
      </c>
      <c r="O27" s="193">
        <f>C30</f>
        <v>1855</v>
      </c>
      <c r="P27" s="147"/>
    </row>
    <row r="28" spans="1:16" x14ac:dyDescent="0.2">
      <c r="A28" s="171"/>
      <c r="B28" s="1"/>
      <c r="C28" s="21"/>
      <c r="D28" s="29"/>
      <c r="E28" s="23"/>
      <c r="F28" s="148"/>
      <c r="G28" s="177"/>
      <c r="H28" s="178"/>
      <c r="I28" s="190"/>
      <c r="J28" s="190"/>
      <c r="K28" s="163"/>
      <c r="L28" s="158"/>
      <c r="M28" s="152"/>
      <c r="N28" s="193">
        <f>D23</f>
        <v>39.356077981651374</v>
      </c>
      <c r="O28" s="193">
        <f>C23</f>
        <v>1744</v>
      </c>
      <c r="P28" s="147"/>
    </row>
    <row r="29" spans="1:16" x14ac:dyDescent="0.2">
      <c r="A29" s="171"/>
      <c r="B29" s="10" t="s">
        <v>14</v>
      </c>
      <c r="C29" s="21">
        <f>IF(B16="",0,(G11*6))</f>
        <v>60</v>
      </c>
      <c r="D29" s="29">
        <v>48</v>
      </c>
      <c r="E29" s="17">
        <f>IF(C29=0,0,C29*D29)*-1</f>
        <v>-2880</v>
      </c>
      <c r="F29" s="148"/>
      <c r="G29" s="177"/>
      <c r="H29" s="178"/>
      <c r="I29" s="179"/>
      <c r="J29" s="179"/>
      <c r="K29" s="163"/>
      <c r="L29" s="158"/>
      <c r="M29" s="152"/>
      <c r="N29" s="193"/>
      <c r="O29" s="193"/>
      <c r="P29" s="147"/>
    </row>
    <row r="30" spans="1:16" ht="13.5" thickBot="1" x14ac:dyDescent="0.25">
      <c r="A30" s="171"/>
      <c r="B30" s="93" t="s">
        <v>5</v>
      </c>
      <c r="C30" s="104">
        <f>IF(B16="",0,C27-C29)</f>
        <v>1855</v>
      </c>
      <c r="D30" s="95">
        <f>IF(C30=0,0,E30/C30)</f>
        <v>39.873315363881403</v>
      </c>
      <c r="E30" s="96">
        <f>IF(B16="",0,E27+E29)</f>
        <v>73965</v>
      </c>
      <c r="F30" s="148"/>
      <c r="G30" s="177"/>
      <c r="H30" s="178"/>
      <c r="I30" s="179"/>
      <c r="J30" s="179"/>
      <c r="K30" s="163"/>
      <c r="L30" s="158"/>
      <c r="M30" s="152"/>
      <c r="N30" s="193">
        <f>D18</f>
        <v>38.416666666666664</v>
      </c>
      <c r="O30" s="193">
        <f>C18</f>
        <v>1404</v>
      </c>
      <c r="P30" s="147"/>
    </row>
    <row r="31" spans="1:16" x14ac:dyDescent="0.2">
      <c r="A31" s="171"/>
      <c r="B31" s="249" t="s">
        <v>72</v>
      </c>
      <c r="C31" s="269">
        <f>O16-O17</f>
        <v>896</v>
      </c>
      <c r="D31" s="266"/>
      <c r="E31" s="261"/>
      <c r="F31" s="148"/>
      <c r="G31" s="177"/>
      <c r="H31" s="178"/>
      <c r="I31" s="179"/>
      <c r="J31" s="179"/>
      <c r="K31" s="163"/>
      <c r="L31" s="158"/>
      <c r="M31" s="152"/>
      <c r="N31" s="196"/>
      <c r="O31" s="196"/>
      <c r="P31" s="147"/>
    </row>
    <row r="32" spans="1:16" ht="13.5" thickBot="1" x14ac:dyDescent="0.25">
      <c r="A32" s="171"/>
      <c r="B32" s="273" t="s">
        <v>93</v>
      </c>
      <c r="C32" s="268">
        <f>(O16-O17)-C24</f>
        <v>716</v>
      </c>
      <c r="D32" s="259"/>
      <c r="E32" s="276"/>
      <c r="F32" s="148"/>
      <c r="G32" s="151"/>
      <c r="H32" s="172"/>
      <c r="I32" s="308" t="s">
        <v>79</v>
      </c>
      <c r="J32" s="180"/>
      <c r="K32" s="164"/>
      <c r="L32" s="158"/>
      <c r="M32" s="152"/>
      <c r="N32" s="193">
        <f>N26</f>
        <v>40.127937336814618</v>
      </c>
      <c r="O32" s="193">
        <f>O26</f>
        <v>1915</v>
      </c>
      <c r="P32" s="147"/>
    </row>
    <row r="33" spans="1:16" ht="13.5" thickBot="1" x14ac:dyDescent="0.25">
      <c r="A33" s="171"/>
      <c r="B33" s="282" t="s">
        <v>73</v>
      </c>
      <c r="C33" s="283">
        <f>IF(C31="","",C31-(C24+C8+C10+C12))</f>
        <v>501</v>
      </c>
      <c r="D33" s="632" t="str">
        <f>IF(C33&lt;0,"&lt;&lt;&lt;&lt;&lt;&lt;  Over Loaded! ","")</f>
        <v/>
      </c>
      <c r="E33" s="633"/>
      <c r="F33" s="136"/>
      <c r="G33" s="153"/>
      <c r="H33" s="153"/>
      <c r="I33" s="296">
        <v>25</v>
      </c>
      <c r="J33" s="153"/>
      <c r="K33" s="168"/>
      <c r="L33" s="242"/>
      <c r="M33" s="152"/>
      <c r="N33" s="193">
        <f>IF(N37="","",(E23+N37+E26)/(C23+N35-C26))</f>
        <v>40.413185707096126</v>
      </c>
      <c r="O33" s="193">
        <f>IF(B16="","",(C23+N35-C26))</f>
        <v>1987</v>
      </c>
      <c r="P33" s="147"/>
    </row>
    <row r="34" spans="1:16" x14ac:dyDescent="0.2">
      <c r="A34" s="171"/>
      <c r="B34" s="135"/>
      <c r="C34" s="135"/>
      <c r="D34" s="135"/>
      <c r="E34" s="135"/>
      <c r="F34" s="135"/>
      <c r="G34" s="299" t="s">
        <v>71</v>
      </c>
      <c r="H34" s="141">
        <v>210</v>
      </c>
      <c r="I34" s="295" t="s">
        <v>74</v>
      </c>
      <c r="J34" s="141"/>
      <c r="K34" s="187"/>
      <c r="L34" s="242"/>
      <c r="M34" s="152"/>
      <c r="N34" s="331"/>
      <c r="O34" s="196"/>
      <c r="P34" s="147"/>
    </row>
    <row r="35" spans="1:16" x14ac:dyDescent="0.2">
      <c r="A35" s="171"/>
      <c r="B35" s="135"/>
      <c r="C35" s="135"/>
      <c r="D35" s="135"/>
      <c r="E35" s="135"/>
      <c r="F35" s="135"/>
      <c r="G35" s="299" t="s">
        <v>70</v>
      </c>
      <c r="H35" s="141">
        <v>10</v>
      </c>
      <c r="I35" s="295" t="s">
        <v>76</v>
      </c>
      <c r="J35" s="141">
        <v>15</v>
      </c>
      <c r="K35" s="302"/>
      <c r="L35" s="243"/>
      <c r="M35" s="152"/>
      <c r="N35" s="193">
        <v>252</v>
      </c>
      <c r="O35" s="196"/>
      <c r="P35" s="147"/>
    </row>
    <row r="36" spans="1:16" x14ac:dyDescent="0.2">
      <c r="A36" s="171"/>
      <c r="B36" s="615"/>
      <c r="C36" s="615"/>
      <c r="D36" s="139"/>
      <c r="E36" s="142"/>
      <c r="F36" s="139"/>
      <c r="G36" s="135"/>
      <c r="H36" s="153"/>
      <c r="I36" s="153"/>
      <c r="J36" s="153"/>
      <c r="K36" s="153"/>
      <c r="L36" s="140"/>
      <c r="M36" s="152"/>
      <c r="N36" s="220">
        <v>48</v>
      </c>
      <c r="O36" s="196"/>
      <c r="P36" s="147"/>
    </row>
    <row r="37" spans="1:16" x14ac:dyDescent="0.2">
      <c r="A37" s="171"/>
      <c r="B37" s="143"/>
      <c r="C37" s="144"/>
      <c r="D37" s="138"/>
      <c r="E37" s="139"/>
      <c r="F37" s="143"/>
      <c r="G37" s="613" t="s">
        <v>78</v>
      </c>
      <c r="H37" s="614"/>
      <c r="I37" s="194">
        <f>IF(H35="","",H35*ABS(SIN(RADIANS(H34-(I33*10)))))</f>
        <v>6.4278760968653925</v>
      </c>
      <c r="J37" s="137" t="s">
        <v>75</v>
      </c>
      <c r="K37" s="194">
        <f>IF(J35="","",J35*ABS(SIN(RADIANS(H34-(I33*10)))))</f>
        <v>9.6418141452980883</v>
      </c>
      <c r="L37" s="298"/>
      <c r="M37" s="152"/>
      <c r="N37" s="345">
        <f>N35*N36</f>
        <v>12096</v>
      </c>
      <c r="O37" s="168"/>
      <c r="P37" s="147"/>
    </row>
    <row r="38" spans="1:16" x14ac:dyDescent="0.2">
      <c r="A38" s="171"/>
      <c r="B38" s="153"/>
      <c r="C38" s="153"/>
      <c r="D38" s="153"/>
      <c r="E38" s="153"/>
      <c r="F38" s="139"/>
      <c r="G38" s="613" t="s">
        <v>77</v>
      </c>
      <c r="H38" s="614"/>
      <c r="I38" s="194" t="str">
        <f>IF(J34="","",H35*ABS(SIN(RADIANS(H34-(I33*10)))))</f>
        <v/>
      </c>
      <c r="J38" s="195" t="s">
        <v>75</v>
      </c>
      <c r="K38" s="194" t="str">
        <f>IF(J34="","",IF(J35="",H35*ABS(SIN(RADIANS(J34-(I33*10)))),J35*ABS(SIN(RADIANS(J34-(I33*10))))))</f>
        <v/>
      </c>
      <c r="L38" s="297"/>
      <c r="M38" s="152"/>
      <c r="N38" s="154"/>
      <c r="O38" s="154"/>
      <c r="P38" s="147"/>
    </row>
    <row r="39" spans="1:16" ht="13.5" thickBot="1" x14ac:dyDescent="0.25">
      <c r="A39" s="181"/>
      <c r="B39" s="182"/>
      <c r="C39" s="183"/>
      <c r="D39" s="183"/>
      <c r="E39" s="183"/>
      <c r="F39" s="184"/>
      <c r="G39" s="185"/>
      <c r="H39" s="185"/>
      <c r="I39" s="185"/>
      <c r="J39" s="185"/>
      <c r="K39" s="185"/>
      <c r="L39" s="185"/>
      <c r="M39" s="185"/>
      <c r="N39" s="184"/>
      <c r="O39" s="184"/>
      <c r="P39" s="244"/>
    </row>
  </sheetData>
  <mergeCells count="12">
    <mergeCell ref="I11:L11"/>
    <mergeCell ref="B2:O2"/>
    <mergeCell ref="E4:G4"/>
    <mergeCell ref="I4:L4"/>
    <mergeCell ref="E7:G7"/>
    <mergeCell ref="E8:F8"/>
    <mergeCell ref="E10:G10"/>
    <mergeCell ref="H14:I14"/>
    <mergeCell ref="B36:C36"/>
    <mergeCell ref="D33:E33"/>
    <mergeCell ref="G37:H37"/>
    <mergeCell ref="G38:H38"/>
  </mergeCells>
  <dataValidations count="1">
    <dataValidation type="list" allowBlank="1" showInputMessage="1" showErrorMessage="1" sqref="C4" xr:uid="{00000000-0002-0000-0100-000000000000}">
      <formula1>$I$5:$I$10</formula1>
    </dataValidation>
  </dataValidations>
  <pageMargins left="0.5" right="0.5" top="0.5" bottom="0.5" header="0" footer="0"/>
  <pageSetup scale="9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P40"/>
  <sheetViews>
    <sheetView zoomScale="90" zoomScaleNormal="90" workbookViewId="0">
      <selection activeCell="P1" sqref="P1:P1048576"/>
    </sheetView>
  </sheetViews>
  <sheetFormatPr defaultRowHeight="12.75" x14ac:dyDescent="0.2"/>
  <cols>
    <col min="1" max="1" width="2.7109375" customWidth="1"/>
    <col min="2" max="2" width="21.5703125" customWidth="1"/>
    <col min="3" max="4" width="9.28515625" customWidth="1"/>
    <col min="5" max="5" width="10.140625" customWidth="1"/>
    <col min="7" max="7" width="14.85546875" customWidth="1"/>
    <col min="9" max="10" width="10" customWidth="1"/>
    <col min="11" max="11" width="9" customWidth="1"/>
    <col min="12" max="12" width="9.85546875" customWidth="1"/>
    <col min="13" max="13" width="2.7109375" customWidth="1"/>
    <col min="14" max="14" width="9.85546875" customWidth="1"/>
    <col min="15" max="15" width="7.7109375" customWidth="1"/>
    <col min="16" max="16" width="2.7109375" customWidth="1"/>
  </cols>
  <sheetData>
    <row r="1" spans="1:16" ht="13.5" thickBot="1" x14ac:dyDescent="0.25">
      <c r="A1" s="206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9"/>
    </row>
    <row r="2" spans="1:16" ht="13.5" thickBot="1" x14ac:dyDescent="0.25">
      <c r="A2" s="204"/>
      <c r="B2" s="619" t="s">
        <v>42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1"/>
      <c r="P2" s="166"/>
    </row>
    <row r="3" spans="1:16" ht="13.5" thickBot="1" x14ac:dyDescent="0.25">
      <c r="A3" s="204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66"/>
    </row>
    <row r="4" spans="1:16" ht="13.5" thickBot="1" x14ac:dyDescent="0.25">
      <c r="A4" s="204"/>
      <c r="B4" s="4" t="s">
        <v>33</v>
      </c>
      <c r="C4" s="70">
        <v>58621</v>
      </c>
      <c r="D4" s="196"/>
      <c r="E4" s="640" t="s">
        <v>45</v>
      </c>
      <c r="F4" s="641"/>
      <c r="G4" s="642"/>
      <c r="H4" s="196"/>
      <c r="I4" s="640" t="s">
        <v>19</v>
      </c>
      <c r="J4" s="641"/>
      <c r="K4" s="641"/>
      <c r="L4" s="642"/>
      <c r="M4" s="196"/>
      <c r="N4" s="196"/>
      <c r="O4" s="202"/>
      <c r="P4" s="166"/>
    </row>
    <row r="5" spans="1:16" ht="13.5" thickBot="1" x14ac:dyDescent="0.25">
      <c r="A5" s="204"/>
      <c r="B5" s="196"/>
      <c r="C5" s="196"/>
      <c r="D5" s="196"/>
      <c r="E5" s="4" t="s">
        <v>30</v>
      </c>
      <c r="F5" s="14"/>
      <c r="G5" s="63">
        <v>60</v>
      </c>
      <c r="H5" s="196"/>
      <c r="I5" s="320">
        <v>58621</v>
      </c>
      <c r="J5" s="314">
        <f t="shared" ref="J5:J8" si="0">IF(I5="","",L5/K5)</f>
        <v>38.242952392092647</v>
      </c>
      <c r="K5" s="315">
        <v>1709.8</v>
      </c>
      <c r="L5" s="316">
        <v>65387.8</v>
      </c>
      <c r="M5" s="196"/>
      <c r="N5" s="196"/>
      <c r="O5" s="202"/>
      <c r="P5" s="166"/>
    </row>
    <row r="6" spans="1:16" ht="13.5" thickBot="1" x14ac:dyDescent="0.25">
      <c r="A6" s="204"/>
      <c r="B6" s="168"/>
      <c r="C6" s="168"/>
      <c r="D6" s="196"/>
      <c r="E6" s="196"/>
      <c r="F6" s="201"/>
      <c r="G6" s="201"/>
      <c r="H6" s="196"/>
      <c r="I6" s="82"/>
      <c r="J6" s="311" t="str">
        <f t="shared" si="0"/>
        <v/>
      </c>
      <c r="K6" s="76"/>
      <c r="L6" s="78"/>
      <c r="M6" s="196"/>
      <c r="N6" s="196"/>
      <c r="O6" s="196"/>
      <c r="P6" s="166"/>
    </row>
    <row r="7" spans="1:16" ht="13.5" thickBot="1" x14ac:dyDescent="0.25">
      <c r="A7" s="204"/>
      <c r="B7" s="168"/>
      <c r="C7" s="168"/>
      <c r="D7" s="196"/>
      <c r="E7" s="625" t="s">
        <v>40</v>
      </c>
      <c r="F7" s="626"/>
      <c r="G7" s="627"/>
      <c r="H7" s="196"/>
      <c r="I7" s="77"/>
      <c r="J7" s="311" t="str">
        <f t="shared" si="0"/>
        <v/>
      </c>
      <c r="K7" s="76"/>
      <c r="L7" s="78"/>
      <c r="M7" s="196"/>
      <c r="N7" s="196"/>
      <c r="O7" s="196"/>
      <c r="P7" s="166"/>
    </row>
    <row r="8" spans="1:16" ht="13.5" thickBot="1" x14ac:dyDescent="0.25">
      <c r="A8" s="204"/>
      <c r="B8" s="116" t="s">
        <v>87</v>
      </c>
      <c r="C8" s="110">
        <v>195</v>
      </c>
      <c r="D8" s="196"/>
      <c r="E8" s="628" t="str">
        <f>"Total Fuel (gal)    ="</f>
        <v>Total Fuel (gal)    =</v>
      </c>
      <c r="F8" s="629"/>
      <c r="G8" s="62"/>
      <c r="H8" s="196"/>
      <c r="I8" s="83"/>
      <c r="J8" s="312" t="str">
        <f t="shared" si="0"/>
        <v/>
      </c>
      <c r="K8" s="80"/>
      <c r="L8" s="81"/>
      <c r="M8" s="196"/>
      <c r="N8" s="196"/>
      <c r="O8" s="196"/>
      <c r="P8" s="166"/>
    </row>
    <row r="9" spans="1:16" ht="13.5" thickBot="1" x14ac:dyDescent="0.25">
      <c r="A9" s="204"/>
      <c r="B9" s="116" t="s">
        <v>89</v>
      </c>
      <c r="C9" s="65">
        <v>135</v>
      </c>
      <c r="D9" s="196"/>
      <c r="E9" s="168"/>
      <c r="F9" s="168"/>
      <c r="G9" s="168"/>
      <c r="H9" s="196"/>
      <c r="I9" s="245"/>
      <c r="J9" s="245"/>
      <c r="K9" s="213"/>
      <c r="L9" s="214"/>
      <c r="M9" s="196"/>
      <c r="N9" s="196"/>
      <c r="O9" s="196"/>
      <c r="P9" s="166"/>
    </row>
    <row r="10" spans="1:16" ht="13.5" thickBot="1" x14ac:dyDescent="0.25">
      <c r="A10" s="204"/>
      <c r="B10" s="74" t="s">
        <v>90</v>
      </c>
      <c r="C10" s="65">
        <v>110</v>
      </c>
      <c r="D10" s="196"/>
      <c r="E10" s="616" t="s">
        <v>22</v>
      </c>
      <c r="F10" s="617"/>
      <c r="G10" s="618"/>
      <c r="H10" s="196"/>
      <c r="I10" s="245"/>
      <c r="J10" s="245"/>
      <c r="K10" s="213"/>
      <c r="L10" s="214"/>
      <c r="M10" s="196"/>
      <c r="N10" s="196"/>
      <c r="O10" s="196"/>
      <c r="P10" s="166"/>
    </row>
    <row r="11" spans="1:16" ht="13.5" thickBot="1" x14ac:dyDescent="0.25">
      <c r="A11" s="204"/>
      <c r="B11" s="74" t="s">
        <v>91</v>
      </c>
      <c r="C11" s="65">
        <v>75</v>
      </c>
      <c r="D11" s="196"/>
      <c r="E11" s="24" t="str">
        <f>"Total Fuel (gal)       ="</f>
        <v>Total Fuel (gal)       =</v>
      </c>
      <c r="F11" s="11"/>
      <c r="G11" s="64">
        <v>10</v>
      </c>
      <c r="H11" s="196"/>
      <c r="I11" s="630"/>
      <c r="J11" s="630"/>
      <c r="K11" s="630"/>
      <c r="L11" s="630"/>
      <c r="M11" s="196"/>
      <c r="N11" s="152"/>
      <c r="O11" s="152"/>
      <c r="P11" s="166"/>
    </row>
    <row r="12" spans="1:16" ht="13.5" thickBot="1" x14ac:dyDescent="0.25">
      <c r="A12" s="204"/>
      <c r="B12" s="74" t="s">
        <v>94</v>
      </c>
      <c r="C12" s="62">
        <v>20</v>
      </c>
      <c r="D12" s="196"/>
      <c r="E12" s="15" t="s">
        <v>27</v>
      </c>
      <c r="F12" s="25"/>
      <c r="G12" s="66">
        <v>1</v>
      </c>
      <c r="H12" s="196"/>
      <c r="I12" s="196"/>
      <c r="J12" s="196"/>
      <c r="K12" s="196"/>
      <c r="L12" s="196"/>
      <c r="M12" s="196"/>
      <c r="N12" s="152"/>
      <c r="O12" s="152"/>
      <c r="P12" s="166"/>
    </row>
    <row r="13" spans="1:16" ht="13.5" thickBot="1" x14ac:dyDescent="0.25">
      <c r="A13" s="204"/>
      <c r="B13" s="74" t="s">
        <v>95</v>
      </c>
      <c r="C13" s="62">
        <v>5</v>
      </c>
      <c r="D13" s="196"/>
      <c r="E13" s="196"/>
      <c r="F13" s="196"/>
      <c r="G13" s="201"/>
      <c r="H13" s="196"/>
      <c r="I13" s="196"/>
      <c r="J13" s="196"/>
      <c r="K13" s="196"/>
      <c r="L13" s="196"/>
      <c r="M13" s="196"/>
      <c r="N13" s="152"/>
      <c r="O13" s="152"/>
      <c r="P13" s="166"/>
    </row>
    <row r="14" spans="1:16" ht="13.5" thickBot="1" x14ac:dyDescent="0.25">
      <c r="A14" s="204"/>
      <c r="B14" s="196"/>
      <c r="C14" s="196"/>
      <c r="D14" s="196"/>
      <c r="E14" s="196"/>
      <c r="F14" s="203"/>
      <c r="G14" s="203"/>
      <c r="H14" s="203"/>
      <c r="I14" s="203"/>
      <c r="J14" s="203"/>
      <c r="K14" s="203"/>
      <c r="L14" s="196"/>
      <c r="M14" s="196"/>
      <c r="N14" s="643"/>
      <c r="O14" s="643"/>
      <c r="P14" s="166"/>
    </row>
    <row r="15" spans="1:16" ht="13.5" thickBot="1" x14ac:dyDescent="0.25">
      <c r="A15" s="204"/>
      <c r="B15" s="196"/>
      <c r="C15" s="196"/>
      <c r="D15" s="196"/>
      <c r="E15" s="196"/>
      <c r="F15" s="201"/>
      <c r="G15" s="212"/>
      <c r="H15" s="638" t="s">
        <v>52</v>
      </c>
      <c r="I15" s="639"/>
      <c r="J15" s="212"/>
      <c r="K15" s="212"/>
      <c r="L15" s="196"/>
      <c r="M15" s="196"/>
      <c r="N15" s="631"/>
      <c r="O15" s="631"/>
      <c r="P15" s="166"/>
    </row>
    <row r="16" spans="1:16" x14ac:dyDescent="0.2">
      <c r="A16" s="204"/>
      <c r="B16" s="90" t="s">
        <v>2</v>
      </c>
      <c r="C16" s="91" t="s">
        <v>0</v>
      </c>
      <c r="D16" s="91" t="s">
        <v>3</v>
      </c>
      <c r="E16" s="92" t="s">
        <v>1</v>
      </c>
      <c r="F16" s="201"/>
      <c r="G16" s="196"/>
      <c r="H16" s="196"/>
      <c r="I16" s="196"/>
      <c r="J16" s="196"/>
      <c r="K16" s="201"/>
      <c r="L16" s="196"/>
      <c r="M16" s="196"/>
      <c r="N16" s="192">
        <v>33.049999999999997</v>
      </c>
      <c r="O16" s="192">
        <v>1709.8</v>
      </c>
      <c r="P16" s="166"/>
    </row>
    <row r="17" spans="1:16" x14ac:dyDescent="0.2">
      <c r="A17" s="204"/>
      <c r="B17" s="30">
        <f>C4</f>
        <v>58621</v>
      </c>
      <c r="C17" s="7"/>
      <c r="D17" s="26"/>
      <c r="E17" s="5"/>
      <c r="F17" s="201"/>
      <c r="G17" s="196"/>
      <c r="H17" s="196"/>
      <c r="I17" s="196"/>
      <c r="J17" s="196"/>
      <c r="K17" s="196"/>
      <c r="L17" s="196"/>
      <c r="M17" s="196"/>
      <c r="N17" s="193">
        <v>32.9</v>
      </c>
      <c r="O17" s="193">
        <v>2260</v>
      </c>
      <c r="P17" s="166"/>
    </row>
    <row r="18" spans="1:16" x14ac:dyDescent="0.2">
      <c r="A18" s="204"/>
      <c r="B18" s="1"/>
      <c r="C18" s="9"/>
      <c r="D18" s="27"/>
      <c r="E18" s="6"/>
      <c r="F18" s="201"/>
      <c r="G18" s="196"/>
      <c r="H18" s="196"/>
      <c r="I18" s="196"/>
      <c r="J18" s="196"/>
      <c r="K18" s="196"/>
      <c r="L18" s="196"/>
      <c r="M18" s="196"/>
      <c r="N18" s="193">
        <v>39.49</v>
      </c>
      <c r="O18" s="193">
        <v>2950</v>
      </c>
      <c r="P18" s="166"/>
    </row>
    <row r="19" spans="1:16" x14ac:dyDescent="0.2">
      <c r="A19" s="204"/>
      <c r="B19" s="1" t="s">
        <v>31</v>
      </c>
      <c r="C19" s="9">
        <f>IF(B17=I5,K5,IF(B17=I6,K6,IF(B17=I7,K7,IF(B17=I8,K8,IF(B17=I9,K9,IF(B17=I10,K10," "))))))</f>
        <v>1709.8</v>
      </c>
      <c r="D19" s="28">
        <f>IF(C19=0,0,(E19/C19))</f>
        <v>38.242952392092647</v>
      </c>
      <c r="E19" s="71">
        <f>IF(B17=I5,L5,IF(B17=I6,L6,IF(B17=I7,L7,IF(B17=I8,L8,IF(B17=I9,L9,IF(B17=I10,L10," "))))))</f>
        <v>65387.8</v>
      </c>
      <c r="F19" s="196"/>
      <c r="G19" s="196"/>
      <c r="H19" s="196"/>
      <c r="I19" s="196"/>
      <c r="J19" s="196"/>
      <c r="K19" s="196"/>
      <c r="L19" s="196"/>
      <c r="M19" s="196"/>
      <c r="N19" s="193">
        <v>49.49</v>
      </c>
      <c r="O19" s="193">
        <v>2950</v>
      </c>
      <c r="P19" s="166"/>
    </row>
    <row r="20" spans="1:16" x14ac:dyDescent="0.2">
      <c r="A20" s="204"/>
      <c r="B20" s="73" t="s">
        <v>81</v>
      </c>
      <c r="C20" s="20">
        <f>IF(B17="",0,C8+C9)</f>
        <v>330</v>
      </c>
      <c r="D20" s="28">
        <v>37</v>
      </c>
      <c r="E20" s="17">
        <f>IF(C20=0,0,C20*D20)</f>
        <v>12210</v>
      </c>
      <c r="F20" s="196"/>
      <c r="G20" s="196"/>
      <c r="H20" s="202"/>
      <c r="I20" s="202"/>
      <c r="J20" s="202"/>
      <c r="K20" s="202"/>
      <c r="L20" s="196"/>
      <c r="M20" s="196"/>
      <c r="N20" s="193">
        <v>48.61</v>
      </c>
      <c r="O20" s="193">
        <v>1709.8</v>
      </c>
      <c r="P20" s="166"/>
    </row>
    <row r="21" spans="1:16" x14ac:dyDescent="0.2">
      <c r="A21" s="204"/>
      <c r="B21" s="73" t="s">
        <v>82</v>
      </c>
      <c r="C21" s="20">
        <f>IF(B17="",0,C10+C11)</f>
        <v>185</v>
      </c>
      <c r="D21" s="28">
        <v>74</v>
      </c>
      <c r="E21" s="17">
        <f>IF(C21=0,0,C21*D21)</f>
        <v>13690</v>
      </c>
      <c r="F21" s="196"/>
      <c r="G21" s="196"/>
      <c r="H21" s="196"/>
      <c r="I21" s="196"/>
      <c r="J21" s="196"/>
      <c r="K21" s="196"/>
      <c r="L21" s="196"/>
      <c r="M21" s="196"/>
      <c r="N21" s="193">
        <v>33.1</v>
      </c>
      <c r="O21" s="193">
        <v>1709.8</v>
      </c>
      <c r="P21" s="166"/>
    </row>
    <row r="22" spans="1:16" x14ac:dyDescent="0.2">
      <c r="A22" s="204"/>
      <c r="B22" s="72" t="s">
        <v>94</v>
      </c>
      <c r="C22" s="20">
        <f>IF(B17="",0,C12)</f>
        <v>20</v>
      </c>
      <c r="D22" s="28">
        <v>97</v>
      </c>
      <c r="E22" s="17">
        <f>IF(C22=0,0,C22*D22)</f>
        <v>1940</v>
      </c>
      <c r="F22" s="196"/>
      <c r="G22" s="196"/>
      <c r="H22" s="201"/>
      <c r="I22" s="201"/>
      <c r="J22" s="201"/>
      <c r="K22" s="201"/>
      <c r="L22" s="196"/>
      <c r="M22" s="196"/>
      <c r="N22" s="193"/>
      <c r="O22" s="193"/>
      <c r="P22" s="166"/>
    </row>
    <row r="23" spans="1:16" x14ac:dyDescent="0.2">
      <c r="A23" s="204"/>
      <c r="B23" s="72" t="s">
        <v>95</v>
      </c>
      <c r="C23" s="20">
        <f>IF(B17="",0,C13)</f>
        <v>5</v>
      </c>
      <c r="D23" s="28">
        <v>115</v>
      </c>
      <c r="E23" s="17">
        <f>IF(C23=0,0,C23*D23)</f>
        <v>575</v>
      </c>
      <c r="F23" s="196"/>
      <c r="G23" s="196"/>
      <c r="H23" s="201"/>
      <c r="I23" s="201"/>
      <c r="J23" s="201"/>
      <c r="K23" s="201"/>
      <c r="L23" s="196"/>
      <c r="M23" s="196"/>
      <c r="N23" s="193">
        <f>D28</f>
        <v>42.55119440817267</v>
      </c>
      <c r="O23" s="193">
        <f>C28</f>
        <v>2603.8000000000002</v>
      </c>
      <c r="P23" s="166"/>
    </row>
    <row r="24" spans="1:16" x14ac:dyDescent="0.2">
      <c r="A24" s="204"/>
      <c r="B24" s="93" t="s">
        <v>16</v>
      </c>
      <c r="C24" s="94">
        <f>IF(B17=0,0,SUM(C19:C23))</f>
        <v>2249.8000000000002</v>
      </c>
      <c r="D24" s="95">
        <f>E24/C24</f>
        <v>41.693839452395764</v>
      </c>
      <c r="E24" s="96">
        <f>IF(B17="See Other Chart",0,SUM(E19:E23))</f>
        <v>93802.8</v>
      </c>
      <c r="F24" s="196"/>
      <c r="G24" s="196"/>
      <c r="H24" s="196"/>
      <c r="I24" s="203"/>
      <c r="J24" s="203"/>
      <c r="K24" s="203"/>
      <c r="L24" s="196"/>
      <c r="M24" s="196"/>
      <c r="N24" s="193">
        <f>D31</f>
        <v>42.422674738580078</v>
      </c>
      <c r="O24" s="193">
        <f>C31</f>
        <v>2543.8000000000002</v>
      </c>
      <c r="P24" s="166"/>
    </row>
    <row r="25" spans="1:16" x14ac:dyDescent="0.2">
      <c r="A25" s="204"/>
      <c r="B25" s="1" t="s">
        <v>32</v>
      </c>
      <c r="C25" s="19">
        <f>IF(C19=0,0,IF(G8="",G5*6,G8*6))</f>
        <v>360</v>
      </c>
      <c r="D25" s="29">
        <v>48</v>
      </c>
      <c r="E25" s="17">
        <f>IF(C25=0,0,C25*D25)</f>
        <v>17280</v>
      </c>
      <c r="F25" s="196"/>
      <c r="G25" s="196"/>
      <c r="H25" s="196"/>
      <c r="I25" s="196"/>
      <c r="J25" s="196"/>
      <c r="K25" s="196"/>
      <c r="L25" s="196"/>
      <c r="M25" s="196"/>
      <c r="N25" s="193">
        <f>D24</f>
        <v>41.693839452395764</v>
      </c>
      <c r="O25" s="193">
        <f>C24</f>
        <v>2249.8000000000002</v>
      </c>
      <c r="P25" s="166"/>
    </row>
    <row r="26" spans="1:16" x14ac:dyDescent="0.2">
      <c r="A26" s="204"/>
      <c r="B26" s="1"/>
      <c r="C26" s="69"/>
      <c r="D26" s="22"/>
      <c r="E26" s="23"/>
      <c r="F26" s="196"/>
      <c r="G26" s="196"/>
      <c r="H26" s="197"/>
      <c r="I26" s="215"/>
      <c r="J26" s="215"/>
      <c r="K26" s="199"/>
      <c r="L26" s="196"/>
      <c r="M26" s="196"/>
      <c r="N26" s="193"/>
      <c r="O26" s="193"/>
      <c r="P26" s="166"/>
    </row>
    <row r="27" spans="1:16" x14ac:dyDescent="0.2">
      <c r="A27" s="204"/>
      <c r="B27" s="10" t="s">
        <v>28</v>
      </c>
      <c r="C27" s="58">
        <f>IF(B17="",0,G12*6)</f>
        <v>6</v>
      </c>
      <c r="D27" s="29">
        <v>48</v>
      </c>
      <c r="E27" s="17">
        <f>IF(C27=0,0,C27*D27)*-1</f>
        <v>-288</v>
      </c>
      <c r="F27" s="196"/>
      <c r="G27" s="196"/>
      <c r="H27" s="197"/>
      <c r="I27" s="215"/>
      <c r="J27" s="215"/>
      <c r="K27" s="199"/>
      <c r="L27" s="196"/>
      <c r="M27" s="196"/>
      <c r="N27" s="193">
        <f>D19</f>
        <v>38.242952392092647</v>
      </c>
      <c r="O27" s="193">
        <f>C19</f>
        <v>1709.8</v>
      </c>
      <c r="P27" s="166"/>
    </row>
    <row r="28" spans="1:16" x14ac:dyDescent="0.2">
      <c r="A28" s="204"/>
      <c r="B28" s="93" t="s">
        <v>4</v>
      </c>
      <c r="C28" s="94">
        <f>IF(B17="",0,SUM(C24:C25)-C27)</f>
        <v>2603.8000000000002</v>
      </c>
      <c r="D28" s="95">
        <f>IF(C28=0,0,E28/C28)</f>
        <v>42.55119440817267</v>
      </c>
      <c r="E28" s="96">
        <f>IF(B17="See Other Chart",0,SUM(E24:E27))</f>
        <v>110794.8</v>
      </c>
      <c r="F28" s="196"/>
      <c r="G28" s="196"/>
      <c r="H28" s="197"/>
      <c r="I28" s="215"/>
      <c r="J28" s="215"/>
      <c r="K28" s="199"/>
      <c r="L28" s="196"/>
      <c r="M28" s="196"/>
      <c r="N28" s="192"/>
      <c r="O28" s="192"/>
      <c r="P28" s="166"/>
    </row>
    <row r="29" spans="1:16" x14ac:dyDescent="0.2">
      <c r="A29" s="204"/>
      <c r="B29" s="1"/>
      <c r="C29" s="21"/>
      <c r="D29" s="29"/>
      <c r="E29" s="23"/>
      <c r="F29" s="196"/>
      <c r="G29" s="196"/>
      <c r="H29" s="197"/>
      <c r="I29" s="215"/>
      <c r="J29" s="215"/>
      <c r="K29" s="199"/>
      <c r="L29" s="196"/>
      <c r="M29" s="196"/>
      <c r="N29" s="193">
        <f>N23</f>
        <v>42.55119440817267</v>
      </c>
      <c r="O29" s="193">
        <f>O23</f>
        <v>2603.8000000000002</v>
      </c>
      <c r="P29" s="166"/>
    </row>
    <row r="30" spans="1:16" x14ac:dyDescent="0.2">
      <c r="A30" s="204"/>
      <c r="B30" s="10" t="s">
        <v>14</v>
      </c>
      <c r="C30" s="21">
        <f>IF(B17="",0,(G11*6))</f>
        <v>60</v>
      </c>
      <c r="D30" s="29">
        <v>48</v>
      </c>
      <c r="E30" s="17">
        <f>IF(C30=0,0,C30*D30)*-1</f>
        <v>-2880</v>
      </c>
      <c r="F30" s="196"/>
      <c r="G30" s="196"/>
      <c r="H30" s="197"/>
      <c r="I30" s="198"/>
      <c r="J30" s="198"/>
      <c r="K30" s="199"/>
      <c r="L30" s="196"/>
      <c r="M30" s="196"/>
      <c r="N30" s="193">
        <f>IF(N34="","",(E24+N34+E27)/(C24+N32-C27))</f>
        <v>42.870344927326627</v>
      </c>
      <c r="O30" s="193">
        <f>IF(B17="","",(C24+N32-C27))</f>
        <v>2765.8</v>
      </c>
      <c r="P30" s="166"/>
    </row>
    <row r="31" spans="1:16" ht="13.5" thickBot="1" x14ac:dyDescent="0.25">
      <c r="A31" s="204"/>
      <c r="B31" s="93" t="s">
        <v>5</v>
      </c>
      <c r="C31" s="94">
        <f>IF(B17="",0,C28-C30)</f>
        <v>2543.8000000000002</v>
      </c>
      <c r="D31" s="95">
        <f>IF(C31=0,0,E31/C31)</f>
        <v>42.422674738580078</v>
      </c>
      <c r="E31" s="96">
        <f>IF(B17="",0,E28+E30)</f>
        <v>107914.8</v>
      </c>
      <c r="F31" s="196"/>
      <c r="G31" s="196"/>
      <c r="H31" s="197"/>
      <c r="I31" s="198"/>
      <c r="J31" s="198"/>
      <c r="K31" s="199"/>
      <c r="L31" s="196"/>
      <c r="M31" s="196"/>
      <c r="N31" s="331"/>
      <c r="O31" s="196"/>
      <c r="P31" s="166"/>
    </row>
    <row r="32" spans="1:16" x14ac:dyDescent="0.2">
      <c r="A32" s="204"/>
      <c r="B32" s="249" t="s">
        <v>72</v>
      </c>
      <c r="C32" s="269">
        <f>O19-O20</f>
        <v>1240.2</v>
      </c>
      <c r="D32" s="266"/>
      <c r="E32" s="261"/>
      <c r="F32" s="148"/>
      <c r="G32" s="177"/>
      <c r="H32" s="178"/>
      <c r="I32" s="179"/>
      <c r="J32" s="179"/>
      <c r="K32" s="163"/>
      <c r="L32" s="177"/>
      <c r="M32" s="189"/>
      <c r="N32" s="193">
        <v>522</v>
      </c>
      <c r="O32" s="196"/>
      <c r="P32" s="147"/>
    </row>
    <row r="33" spans="1:16" ht="13.5" thickBot="1" x14ac:dyDescent="0.25">
      <c r="A33" s="171"/>
      <c r="B33" s="273" t="s">
        <v>93</v>
      </c>
      <c r="C33" s="268">
        <f>(O19-O20)-C25</f>
        <v>880.2</v>
      </c>
      <c r="D33" s="259"/>
      <c r="E33" s="276"/>
      <c r="F33" s="148"/>
      <c r="G33" s="151"/>
      <c r="H33" s="172"/>
      <c r="I33" s="308" t="s">
        <v>79</v>
      </c>
      <c r="J33" s="180"/>
      <c r="K33" s="164"/>
      <c r="L33" s="177"/>
      <c r="M33" s="189"/>
      <c r="N33" s="220">
        <v>48</v>
      </c>
      <c r="O33" s="196"/>
      <c r="P33" s="147"/>
    </row>
    <row r="34" spans="1:16" ht="13.5" thickBot="1" x14ac:dyDescent="0.25">
      <c r="A34" s="171"/>
      <c r="B34" s="282" t="s">
        <v>73</v>
      </c>
      <c r="C34" s="283">
        <f>IF(C32="","",C32-(C25+C8+C10+C12))</f>
        <v>555.20000000000005</v>
      </c>
      <c r="D34" s="632" t="str">
        <f>IF(C34&lt;0,"&lt;&lt;&lt;&lt;&lt;&lt;  Over Loaded! ","")</f>
        <v/>
      </c>
      <c r="E34" s="633"/>
      <c r="F34" s="136"/>
      <c r="G34" s="153"/>
      <c r="H34" s="153"/>
      <c r="I34" s="296">
        <v>25</v>
      </c>
      <c r="J34" s="153"/>
      <c r="K34" s="168"/>
      <c r="L34" s="242"/>
      <c r="M34" s="189"/>
      <c r="N34" s="345">
        <f>N32*N33</f>
        <v>25056</v>
      </c>
      <c r="O34" s="168"/>
      <c r="P34" s="147"/>
    </row>
    <row r="35" spans="1:16" x14ac:dyDescent="0.2">
      <c r="A35" s="171"/>
      <c r="B35" s="135"/>
      <c r="C35" s="135"/>
      <c r="D35" s="135"/>
      <c r="E35" s="135"/>
      <c r="F35" s="135"/>
      <c r="G35" s="299" t="s">
        <v>71</v>
      </c>
      <c r="H35" s="141">
        <v>210</v>
      </c>
      <c r="I35" s="295" t="s">
        <v>74</v>
      </c>
      <c r="J35" s="141"/>
      <c r="K35" s="187"/>
      <c r="L35" s="242"/>
      <c r="M35" s="189"/>
      <c r="N35" s="154"/>
      <c r="O35" s="154"/>
      <c r="P35" s="147"/>
    </row>
    <row r="36" spans="1:16" x14ac:dyDescent="0.2">
      <c r="A36" s="171"/>
      <c r="B36" s="242"/>
      <c r="C36" s="242"/>
      <c r="D36" s="242"/>
      <c r="E36" s="242"/>
      <c r="F36" s="242"/>
      <c r="G36" s="299" t="s">
        <v>70</v>
      </c>
      <c r="H36" s="141">
        <v>10</v>
      </c>
      <c r="I36" s="295" t="s">
        <v>76</v>
      </c>
      <c r="J36" s="141">
        <v>15</v>
      </c>
      <c r="K36" s="302"/>
      <c r="L36" s="243"/>
      <c r="M36" s="189"/>
      <c r="N36" s="154"/>
      <c r="O36" s="154"/>
      <c r="P36" s="147"/>
    </row>
    <row r="37" spans="1:16" x14ac:dyDescent="0.2">
      <c r="A37" s="171"/>
      <c r="B37" s="615"/>
      <c r="C37" s="615"/>
      <c r="D37" s="139"/>
      <c r="E37" s="142"/>
      <c r="F37" s="139"/>
      <c r="G37" s="135"/>
      <c r="H37" s="153"/>
      <c r="I37" s="153"/>
      <c r="J37" s="153"/>
      <c r="K37" s="153"/>
      <c r="L37" s="140"/>
      <c r="M37" s="189"/>
      <c r="N37" s="346"/>
      <c r="O37" s="154"/>
      <c r="P37" s="147"/>
    </row>
    <row r="38" spans="1:16" x14ac:dyDescent="0.2">
      <c r="A38" s="171"/>
      <c r="B38" s="143"/>
      <c r="C38" s="144"/>
      <c r="D38" s="138"/>
      <c r="E38" s="139"/>
      <c r="F38" s="143"/>
      <c r="G38" s="613" t="s">
        <v>78</v>
      </c>
      <c r="H38" s="614"/>
      <c r="I38" s="194">
        <f>IF(H36="","",H36*ABS(SIN(RADIANS(H35-(I34*10)))))</f>
        <v>6.4278760968653925</v>
      </c>
      <c r="J38" s="137" t="s">
        <v>75</v>
      </c>
      <c r="K38" s="194">
        <f>IF(J36="","",J36*ABS(SIN(RADIANS(H35-(I34*10)))))</f>
        <v>9.6418141452980883</v>
      </c>
      <c r="L38" s="298"/>
      <c r="M38" s="153"/>
      <c r="N38" s="154"/>
      <c r="O38" s="154"/>
      <c r="P38" s="147"/>
    </row>
    <row r="39" spans="1:16" x14ac:dyDescent="0.2">
      <c r="A39" s="171"/>
      <c r="B39" s="615"/>
      <c r="C39" s="615"/>
      <c r="D39" s="139"/>
      <c r="E39" s="142"/>
      <c r="F39" s="139"/>
      <c r="G39" s="613" t="s">
        <v>77</v>
      </c>
      <c r="H39" s="614"/>
      <c r="I39" s="194" t="str">
        <f>IF(J35="","",H36*ABS(SIN(RADIANS(H35-(I34*10)))))</f>
        <v/>
      </c>
      <c r="J39" s="195" t="s">
        <v>75</v>
      </c>
      <c r="K39" s="194" t="str">
        <f>IF(J35="","",IF(J36="",H36*ABS(SIN(RADIANS(J35-(I34*10)))),J36*ABS(SIN(RADIANS(J35-(I34*10))))))</f>
        <v/>
      </c>
      <c r="L39" s="297"/>
      <c r="M39" s="153"/>
      <c r="N39" s="154"/>
      <c r="O39" s="154"/>
      <c r="P39" s="147"/>
    </row>
    <row r="40" spans="1:16" ht="13.5" thickBot="1" x14ac:dyDescent="0.25">
      <c r="A40" s="181"/>
      <c r="B40" s="182"/>
      <c r="C40" s="183"/>
      <c r="D40" s="183"/>
      <c r="E40" s="183"/>
      <c r="F40" s="184"/>
      <c r="G40" s="185"/>
      <c r="H40" s="185"/>
      <c r="I40" s="185"/>
      <c r="J40" s="185"/>
      <c r="K40" s="185"/>
      <c r="L40" s="185"/>
      <c r="M40" s="185"/>
      <c r="N40" s="184"/>
      <c r="O40" s="184"/>
      <c r="P40" s="244"/>
    </row>
  </sheetData>
  <mergeCells count="15">
    <mergeCell ref="B39:C39"/>
    <mergeCell ref="E10:G10"/>
    <mergeCell ref="H15:I15"/>
    <mergeCell ref="B2:O2"/>
    <mergeCell ref="E4:G4"/>
    <mergeCell ref="I4:L4"/>
    <mergeCell ref="E7:G7"/>
    <mergeCell ref="E8:F8"/>
    <mergeCell ref="I11:L11"/>
    <mergeCell ref="N14:O14"/>
    <mergeCell ref="N15:O15"/>
    <mergeCell ref="B37:C37"/>
    <mergeCell ref="D34:E34"/>
    <mergeCell ref="G38:H38"/>
    <mergeCell ref="G39:H39"/>
  </mergeCells>
  <dataValidations count="1">
    <dataValidation type="list" allowBlank="1" showInputMessage="1" showErrorMessage="1" sqref="C4" xr:uid="{00000000-0002-0000-0200-000000000000}">
      <formula1>$I$5:$I$10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33"/>
    <pageSetUpPr fitToPage="1"/>
  </sheetPr>
  <dimension ref="A1:P43"/>
  <sheetViews>
    <sheetView zoomScale="90" zoomScaleNormal="90" workbookViewId="0">
      <selection activeCell="G6" sqref="G6"/>
    </sheetView>
  </sheetViews>
  <sheetFormatPr defaultRowHeight="12.75" x14ac:dyDescent="0.2"/>
  <cols>
    <col min="1" max="1" width="2.7109375" customWidth="1"/>
    <col min="2" max="2" width="21.5703125" customWidth="1"/>
    <col min="3" max="4" width="9.28515625" customWidth="1"/>
    <col min="5" max="5" width="10.140625" customWidth="1"/>
    <col min="7" max="7" width="14.85546875" customWidth="1"/>
    <col min="9" max="10" width="10" customWidth="1"/>
    <col min="11" max="11" width="9" customWidth="1"/>
    <col min="12" max="12" width="9.85546875" customWidth="1"/>
    <col min="13" max="13" width="2.7109375" customWidth="1"/>
    <col min="14" max="14" width="9.85546875" customWidth="1"/>
    <col min="15" max="15" width="7.7109375" customWidth="1"/>
    <col min="16" max="16" width="2.7109375" customWidth="1"/>
  </cols>
  <sheetData>
    <row r="1" spans="1:16" ht="13.5" thickBot="1" x14ac:dyDescent="0.25">
      <c r="A1" s="169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45"/>
    </row>
    <row r="2" spans="1:16" ht="13.5" thickBot="1" x14ac:dyDescent="0.25">
      <c r="A2" s="171"/>
      <c r="B2" s="619" t="s">
        <v>42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1"/>
      <c r="P2" s="146"/>
    </row>
    <row r="3" spans="1:16" ht="13.5" thickBot="1" x14ac:dyDescent="0.25">
      <c r="A3" s="171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6"/>
    </row>
    <row r="4" spans="1:16" ht="13.5" thickBot="1" x14ac:dyDescent="0.25">
      <c r="A4" s="171"/>
      <c r="B4" s="4" t="s">
        <v>33</v>
      </c>
      <c r="C4" s="391" t="s">
        <v>104</v>
      </c>
      <c r="D4" s="148"/>
      <c r="E4" s="622" t="s">
        <v>45</v>
      </c>
      <c r="F4" s="623"/>
      <c r="G4" s="624"/>
      <c r="H4" s="149"/>
      <c r="I4" s="622" t="s">
        <v>19</v>
      </c>
      <c r="J4" s="623"/>
      <c r="K4" s="623"/>
      <c r="L4" s="624"/>
      <c r="M4" s="149"/>
      <c r="N4" s="196"/>
      <c r="O4" s="202"/>
      <c r="P4" s="222"/>
    </row>
    <row r="5" spans="1:16" ht="13.5" thickBot="1" x14ac:dyDescent="0.25">
      <c r="A5" s="171"/>
      <c r="B5" s="148"/>
      <c r="C5" s="148"/>
      <c r="D5" s="148"/>
      <c r="E5" s="4" t="s">
        <v>30</v>
      </c>
      <c r="F5" s="14"/>
      <c r="G5" s="63">
        <v>20</v>
      </c>
      <c r="H5" s="149"/>
      <c r="I5" s="321" t="s">
        <v>104</v>
      </c>
      <c r="J5" s="318">
        <f t="shared" ref="J5:J8" si="0">IF(I5="","",L5/K5)</f>
        <v>12.556643377500729</v>
      </c>
      <c r="K5" s="318">
        <v>1341.11</v>
      </c>
      <c r="L5" s="562">
        <v>16839.84</v>
      </c>
      <c r="M5" s="149"/>
      <c r="N5" s="196" t="s">
        <v>135</v>
      </c>
      <c r="O5" s="202">
        <v>13</v>
      </c>
      <c r="P5" s="222"/>
    </row>
    <row r="6" spans="1:16" ht="13.5" thickBot="1" x14ac:dyDescent="0.25">
      <c r="A6" s="171"/>
      <c r="B6" s="148"/>
      <c r="C6" s="148"/>
      <c r="D6" s="148"/>
      <c r="E6" s="148"/>
      <c r="F6" s="161"/>
      <c r="G6" s="161"/>
      <c r="H6" s="148"/>
      <c r="I6" s="82"/>
      <c r="J6" s="311" t="str">
        <f t="shared" si="0"/>
        <v/>
      </c>
      <c r="K6" s="76"/>
      <c r="L6" s="78"/>
      <c r="M6" s="148"/>
      <c r="N6" s="196" t="s">
        <v>136</v>
      </c>
      <c r="O6" s="196">
        <v>15</v>
      </c>
      <c r="P6" s="222"/>
    </row>
    <row r="7" spans="1:16" ht="13.5" thickBot="1" x14ac:dyDescent="0.25">
      <c r="A7" s="171"/>
      <c r="B7" s="392" t="s">
        <v>138</v>
      </c>
      <c r="C7" s="110" t="s">
        <v>137</v>
      </c>
      <c r="D7" s="148"/>
      <c r="E7" s="625" t="s">
        <v>40</v>
      </c>
      <c r="F7" s="626"/>
      <c r="G7" s="627"/>
      <c r="H7" s="148"/>
      <c r="I7" s="77"/>
      <c r="J7" s="311" t="str">
        <f t="shared" si="0"/>
        <v/>
      </c>
      <c r="K7" s="76"/>
      <c r="L7" s="78"/>
      <c r="M7" s="148"/>
      <c r="N7" s="196" t="s">
        <v>137</v>
      </c>
      <c r="O7" s="196">
        <v>16</v>
      </c>
      <c r="P7" s="222"/>
    </row>
    <row r="8" spans="1:16" ht="13.5" thickBot="1" x14ac:dyDescent="0.25">
      <c r="A8" s="171"/>
      <c r="B8" s="392" t="s">
        <v>99</v>
      </c>
      <c r="C8" s="110">
        <v>180</v>
      </c>
      <c r="D8" s="148"/>
      <c r="E8" s="628" t="str">
        <f>"Total Fuel (gal)    ="</f>
        <v>Total Fuel (gal)    =</v>
      </c>
      <c r="F8" s="629"/>
      <c r="G8" s="62"/>
      <c r="H8" s="196"/>
      <c r="I8" s="83"/>
      <c r="J8" s="312" t="str">
        <f t="shared" si="0"/>
        <v/>
      </c>
      <c r="K8" s="80"/>
      <c r="L8" s="81"/>
      <c r="M8" s="196"/>
      <c r="N8" s="196"/>
      <c r="O8" s="196"/>
      <c r="P8" s="222"/>
    </row>
    <row r="9" spans="1:16" ht="13.5" thickBot="1" x14ac:dyDescent="0.25">
      <c r="A9" s="171"/>
      <c r="B9" s="116" t="s">
        <v>100</v>
      </c>
      <c r="C9" s="65">
        <v>150</v>
      </c>
      <c r="D9" s="148"/>
      <c r="E9" s="148"/>
      <c r="F9" s="148"/>
      <c r="G9" s="148"/>
      <c r="H9" s="196"/>
      <c r="I9" s="245"/>
      <c r="J9" s="245"/>
      <c r="K9" s="213"/>
      <c r="L9" s="214"/>
      <c r="M9" s="196"/>
      <c r="N9" s="196"/>
      <c r="O9" s="196"/>
      <c r="P9" s="222"/>
    </row>
    <row r="10" spans="1:16" ht="13.5" thickBot="1" x14ac:dyDescent="0.25">
      <c r="A10" s="171"/>
      <c r="B10" s="393" t="s">
        <v>102</v>
      </c>
      <c r="C10" s="62">
        <v>0</v>
      </c>
      <c r="D10" s="148"/>
      <c r="E10" s="616" t="s">
        <v>22</v>
      </c>
      <c r="F10" s="617"/>
      <c r="G10" s="618"/>
      <c r="H10" s="196"/>
      <c r="I10" s="245"/>
      <c r="J10" s="245"/>
      <c r="K10" s="213"/>
      <c r="L10" s="214"/>
      <c r="M10" s="196"/>
      <c r="N10" s="196"/>
      <c r="O10" s="196"/>
      <c r="P10" s="222"/>
    </row>
    <row r="11" spans="1:16" x14ac:dyDescent="0.2">
      <c r="A11" s="171"/>
      <c r="B11" s="151"/>
      <c r="C11" s="161"/>
      <c r="D11" s="148"/>
      <c r="E11" s="24" t="str">
        <f>"Total Fuel (gal)       ="</f>
        <v>Total Fuel (gal)       =</v>
      </c>
      <c r="F11" s="11"/>
      <c r="G11" s="64">
        <v>10</v>
      </c>
      <c r="H11" s="196"/>
      <c r="I11" s="630"/>
      <c r="J11" s="630"/>
      <c r="K11" s="630"/>
      <c r="L11" s="630"/>
      <c r="M11" s="196"/>
      <c r="N11" s="196"/>
      <c r="O11" s="196"/>
      <c r="P11" s="222"/>
    </row>
    <row r="12" spans="1:16" ht="13.5" thickBot="1" x14ac:dyDescent="0.25">
      <c r="A12" s="171"/>
      <c r="B12" s="148"/>
      <c r="C12" s="161"/>
      <c r="D12" s="148"/>
      <c r="E12" s="15" t="s">
        <v>27</v>
      </c>
      <c r="F12" s="75"/>
      <c r="G12" s="66">
        <v>0.5</v>
      </c>
      <c r="H12" s="196"/>
      <c r="I12" s="196"/>
      <c r="J12" s="196"/>
      <c r="K12" s="196"/>
      <c r="L12" s="394"/>
      <c r="M12" s="394"/>
      <c r="N12" s="196"/>
      <c r="O12" s="196"/>
      <c r="P12" s="222"/>
    </row>
    <row r="13" spans="1:16" x14ac:dyDescent="0.2">
      <c r="A13" s="171"/>
      <c r="B13" s="148"/>
      <c r="C13" s="148"/>
      <c r="D13" s="148"/>
      <c r="E13" s="148"/>
      <c r="F13" s="159"/>
      <c r="G13" s="159"/>
      <c r="H13" s="203"/>
      <c r="I13" s="203"/>
      <c r="J13" s="203"/>
      <c r="K13" s="203"/>
      <c r="L13" s="394"/>
      <c r="M13" s="394"/>
      <c r="N13" s="631"/>
      <c r="O13" s="631"/>
      <c r="P13" s="222"/>
    </row>
    <row r="14" spans="1:16" ht="13.5" thickBot="1" x14ac:dyDescent="0.25">
      <c r="A14" s="171"/>
      <c r="B14" s="148"/>
      <c r="C14" s="148"/>
      <c r="D14" s="148"/>
      <c r="E14" s="148"/>
      <c r="F14" s="161"/>
      <c r="G14" s="160"/>
      <c r="H14" s="153"/>
      <c r="I14" s="644" t="s">
        <v>103</v>
      </c>
      <c r="J14" s="645"/>
      <c r="K14" s="390"/>
      <c r="L14" s="394"/>
      <c r="M14" s="394"/>
      <c r="N14" s="631"/>
      <c r="O14" s="631"/>
      <c r="P14" s="222"/>
    </row>
    <row r="15" spans="1:16" x14ac:dyDescent="0.2">
      <c r="A15" s="171"/>
      <c r="B15" s="90" t="s">
        <v>2</v>
      </c>
      <c r="C15" s="91" t="s">
        <v>0</v>
      </c>
      <c r="D15" s="91" t="s">
        <v>3</v>
      </c>
      <c r="E15" s="92" t="s">
        <v>1</v>
      </c>
      <c r="F15" s="201"/>
      <c r="G15" s="196"/>
      <c r="H15" s="196"/>
      <c r="I15" s="196"/>
      <c r="J15" s="196"/>
      <c r="K15" s="201"/>
      <c r="L15" s="394"/>
      <c r="M15" s="394"/>
      <c r="N15" s="193">
        <v>15</v>
      </c>
      <c r="O15" s="193">
        <v>1300</v>
      </c>
      <c r="P15" s="222"/>
    </row>
    <row r="16" spans="1:16" x14ac:dyDescent="0.2">
      <c r="A16" s="171"/>
      <c r="B16" s="30" t="str">
        <f>C4</f>
        <v>263MA</v>
      </c>
      <c r="C16" s="7"/>
      <c r="D16" s="26"/>
      <c r="E16" s="5"/>
      <c r="F16" s="201"/>
      <c r="G16" s="196"/>
      <c r="H16" s="196"/>
      <c r="I16" s="196"/>
      <c r="J16" s="196"/>
      <c r="K16" s="196"/>
      <c r="L16" s="394"/>
      <c r="M16" s="394"/>
      <c r="N16" s="193">
        <v>18</v>
      </c>
      <c r="O16" s="193">
        <v>1550</v>
      </c>
      <c r="P16" s="222"/>
    </row>
    <row r="17" spans="1:16" x14ac:dyDescent="0.2">
      <c r="A17" s="171"/>
      <c r="B17" s="1"/>
      <c r="C17" s="9"/>
      <c r="D17" s="27"/>
      <c r="E17" s="6"/>
      <c r="F17" s="201"/>
      <c r="G17" s="196"/>
      <c r="H17" s="196"/>
      <c r="I17" s="196"/>
      <c r="J17" s="196"/>
      <c r="K17" s="196"/>
      <c r="L17" s="394"/>
      <c r="M17" s="394"/>
      <c r="N17" s="192">
        <v>24.25</v>
      </c>
      <c r="O17" s="192">
        <v>1800</v>
      </c>
      <c r="P17" s="222"/>
    </row>
    <row r="18" spans="1:16" x14ac:dyDescent="0.2">
      <c r="A18" s="171"/>
      <c r="B18" s="1" t="s">
        <v>31</v>
      </c>
      <c r="C18" s="9">
        <f>IF(B16=I5,K5,IF(B16=I6,K6,IF(B16=I7,K7," ")))</f>
        <v>1341.11</v>
      </c>
      <c r="D18" s="576">
        <f>IF(C18=0,0,(E18/C18))</f>
        <v>12.556643377500729</v>
      </c>
      <c r="E18" s="71">
        <f>IF(B16=I5,L5,IF(B16=I6,L6,IF(B16=I7,L7," ")))</f>
        <v>16839.84</v>
      </c>
      <c r="F18" s="196"/>
      <c r="G18" s="196"/>
      <c r="H18" s="196"/>
      <c r="I18" s="196"/>
      <c r="J18" s="196"/>
      <c r="K18" s="196"/>
      <c r="L18" s="394"/>
      <c r="M18" s="394"/>
      <c r="N18" s="193">
        <v>33.9</v>
      </c>
      <c r="O18" s="193">
        <v>1800</v>
      </c>
      <c r="P18" s="222"/>
    </row>
    <row r="19" spans="1:16" x14ac:dyDescent="0.2">
      <c r="A19" s="171"/>
      <c r="B19" s="1" t="s">
        <v>99</v>
      </c>
      <c r="C19" s="20">
        <f>IF(B16="",0,C8)</f>
        <v>180</v>
      </c>
      <c r="D19" s="576">
        <f>IF(C7="Forward",O5,IF(C7="Center",O6,O7))</f>
        <v>16</v>
      </c>
      <c r="E19" s="17">
        <f>IF(C19=0,0,C19*D19)</f>
        <v>2880</v>
      </c>
      <c r="F19" s="196"/>
      <c r="G19" s="196"/>
      <c r="H19" s="202"/>
      <c r="I19" s="202"/>
      <c r="J19" s="202"/>
      <c r="K19" s="202"/>
      <c r="L19" s="394"/>
      <c r="M19" s="394"/>
      <c r="N19" s="193">
        <v>24</v>
      </c>
      <c r="O19" s="193">
        <v>1300</v>
      </c>
      <c r="P19" s="222"/>
    </row>
    <row r="20" spans="1:16" x14ac:dyDescent="0.2">
      <c r="A20" s="171"/>
      <c r="B20" s="73" t="s">
        <v>101</v>
      </c>
      <c r="C20" s="20">
        <f>C9</f>
        <v>150</v>
      </c>
      <c r="D20" s="576">
        <v>45</v>
      </c>
      <c r="E20" s="17">
        <f>IF(C20=0,0,C20*D20)</f>
        <v>6750</v>
      </c>
      <c r="F20" s="196"/>
      <c r="G20" s="196"/>
      <c r="H20" s="196"/>
      <c r="I20" s="196"/>
      <c r="J20" s="196"/>
      <c r="K20" s="196"/>
      <c r="L20" s="394"/>
      <c r="M20" s="394"/>
      <c r="N20" s="193">
        <v>15</v>
      </c>
      <c r="O20" s="193">
        <v>1300</v>
      </c>
      <c r="P20" s="222"/>
    </row>
    <row r="21" spans="1:16" x14ac:dyDescent="0.2">
      <c r="A21" s="171"/>
      <c r="B21" s="72" t="s">
        <v>102</v>
      </c>
      <c r="C21" s="20">
        <f>C10</f>
        <v>0</v>
      </c>
      <c r="D21" s="576">
        <v>71.5</v>
      </c>
      <c r="E21" s="17">
        <f>IF(C21=0,0,C21*D21)</f>
        <v>0</v>
      </c>
      <c r="F21" s="196"/>
      <c r="G21" s="196"/>
      <c r="H21" s="201"/>
      <c r="I21" s="201"/>
      <c r="J21" s="201"/>
      <c r="K21" s="201"/>
      <c r="L21" s="394"/>
      <c r="M21" s="394"/>
      <c r="N21" s="345">
        <v>24.3</v>
      </c>
      <c r="O21" s="192">
        <v>1800</v>
      </c>
      <c r="P21" s="222"/>
    </row>
    <row r="22" spans="1:16" x14ac:dyDescent="0.2">
      <c r="A22" s="171"/>
      <c r="B22" s="72"/>
      <c r="C22" s="20"/>
      <c r="D22" s="576"/>
      <c r="E22" s="17"/>
      <c r="F22" s="196"/>
      <c r="G22" s="196"/>
      <c r="H22" s="201"/>
      <c r="I22" s="201"/>
      <c r="J22" s="201"/>
      <c r="K22" s="201"/>
      <c r="L22" s="394"/>
      <c r="M22" s="394"/>
      <c r="N22" s="192">
        <v>29</v>
      </c>
      <c r="O22" s="192">
        <v>1950</v>
      </c>
      <c r="P22" s="222"/>
    </row>
    <row r="23" spans="1:16" x14ac:dyDescent="0.2">
      <c r="A23" s="171"/>
      <c r="B23" s="93" t="s">
        <v>16</v>
      </c>
      <c r="C23" s="94">
        <f>IF(B16=0,0,SUM(C18:C22))</f>
        <v>1671.11</v>
      </c>
      <c r="D23" s="577">
        <f>E23/C23</f>
        <v>15.839675425316109</v>
      </c>
      <c r="E23" s="96">
        <f>IF(B16="",0,SUM(E18:E22))</f>
        <v>26469.84</v>
      </c>
      <c r="F23" s="196"/>
      <c r="G23" s="196"/>
      <c r="H23" s="196"/>
      <c r="I23" s="203"/>
      <c r="J23" s="203"/>
      <c r="K23" s="203"/>
      <c r="L23" s="394"/>
      <c r="M23" s="394"/>
      <c r="N23" s="192">
        <v>36</v>
      </c>
      <c r="O23" s="192">
        <v>1950</v>
      </c>
      <c r="P23" s="222"/>
    </row>
    <row r="24" spans="1:16" x14ac:dyDescent="0.2">
      <c r="A24" s="171"/>
      <c r="B24" s="1" t="s">
        <v>32</v>
      </c>
      <c r="C24" s="19">
        <f>IF(C18=0,0,IF(G8="",G5*6,G8*6))</f>
        <v>120</v>
      </c>
      <c r="D24" s="578">
        <v>26.08</v>
      </c>
      <c r="E24" s="17">
        <f>IF(C24=0,0,C24*D24)</f>
        <v>3129.6</v>
      </c>
      <c r="F24" s="196"/>
      <c r="G24" s="196"/>
      <c r="H24" s="196"/>
      <c r="I24" s="196"/>
      <c r="J24" s="196"/>
      <c r="K24" s="196"/>
      <c r="L24" s="394"/>
      <c r="M24" s="394"/>
      <c r="N24" s="192">
        <v>34</v>
      </c>
      <c r="O24" s="192">
        <v>1800</v>
      </c>
      <c r="P24" s="222"/>
    </row>
    <row r="25" spans="1:16" x14ac:dyDescent="0.2">
      <c r="A25" s="171"/>
      <c r="B25" s="1"/>
      <c r="C25" s="69"/>
      <c r="D25" s="579"/>
      <c r="E25" s="23"/>
      <c r="F25" s="196"/>
      <c r="G25" s="196"/>
      <c r="H25" s="197"/>
      <c r="I25" s="215"/>
      <c r="J25" s="215"/>
      <c r="K25" s="199"/>
      <c r="L25" s="394"/>
      <c r="M25" s="394"/>
      <c r="N25" s="345">
        <v>24.3</v>
      </c>
      <c r="O25" s="192">
        <v>1800</v>
      </c>
      <c r="P25" s="222"/>
    </row>
    <row r="26" spans="1:16" x14ac:dyDescent="0.2">
      <c r="A26" s="171"/>
      <c r="B26" s="10" t="s">
        <v>28</v>
      </c>
      <c r="C26" s="58">
        <f>IF(B16="",0,G12*6)*-1</f>
        <v>-3</v>
      </c>
      <c r="D26" s="578">
        <v>26.04</v>
      </c>
      <c r="E26" s="17">
        <f>IF(C26=0,0,C26*D26)</f>
        <v>-78.12</v>
      </c>
      <c r="F26" s="196"/>
      <c r="G26" s="196"/>
      <c r="H26" s="197"/>
      <c r="I26" s="215"/>
      <c r="J26" s="215"/>
      <c r="K26" s="199"/>
      <c r="L26" s="394"/>
      <c r="M26" s="394"/>
      <c r="N26" s="168"/>
      <c r="O26" s="168"/>
      <c r="P26" s="222"/>
    </row>
    <row r="27" spans="1:16" x14ac:dyDescent="0.2">
      <c r="A27" s="171"/>
      <c r="B27" s="93" t="s">
        <v>4</v>
      </c>
      <c r="C27" s="94">
        <f>IF(B16="",0,SUM(C23:C24)+C26)</f>
        <v>1788.11</v>
      </c>
      <c r="D27" s="577">
        <f>IF(C27=0,0,E27/C27)</f>
        <v>16.509789666183849</v>
      </c>
      <c r="E27" s="96">
        <f>IF(B16="",0,SUM(E23:E26))</f>
        <v>29521.32</v>
      </c>
      <c r="F27" s="196"/>
      <c r="G27" s="196"/>
      <c r="H27" s="197"/>
      <c r="I27" s="215"/>
      <c r="J27" s="215"/>
      <c r="K27" s="199"/>
      <c r="L27" s="394"/>
      <c r="M27" s="394"/>
      <c r="N27" s="193">
        <f>(E27*(0.001))</f>
        <v>29.521319999999999</v>
      </c>
      <c r="O27" s="193">
        <f>C27</f>
        <v>1788.11</v>
      </c>
      <c r="P27" s="222"/>
    </row>
    <row r="28" spans="1:16" x14ac:dyDescent="0.2">
      <c r="A28" s="171"/>
      <c r="B28" s="1"/>
      <c r="C28" s="21"/>
      <c r="D28" s="578"/>
      <c r="E28" s="23"/>
      <c r="F28" s="196"/>
      <c r="G28" s="196"/>
      <c r="H28" s="197"/>
      <c r="I28" s="215"/>
      <c r="J28" s="215"/>
      <c r="K28" s="199"/>
      <c r="L28" s="394"/>
      <c r="M28" s="394"/>
      <c r="N28" s="193">
        <f>(E30*(0.001))</f>
        <v>27.958919999999999</v>
      </c>
      <c r="O28" s="193">
        <f>C30</f>
        <v>1728.11</v>
      </c>
      <c r="P28" s="222"/>
    </row>
    <row r="29" spans="1:16" x14ac:dyDescent="0.2">
      <c r="A29" s="171"/>
      <c r="B29" s="10" t="s">
        <v>14</v>
      </c>
      <c r="C29" s="21">
        <f>IF(B16="",0,(G11*6)*-1)</f>
        <v>-60</v>
      </c>
      <c r="D29" s="578">
        <v>26.04</v>
      </c>
      <c r="E29" s="17">
        <f>IF(C29=0,0,C29*D29)</f>
        <v>-1562.3999999999999</v>
      </c>
      <c r="F29" s="196"/>
      <c r="G29" s="196"/>
      <c r="H29" s="197"/>
      <c r="I29" s="198"/>
      <c r="J29" s="198"/>
      <c r="K29" s="199"/>
      <c r="L29" s="394"/>
      <c r="M29" s="394"/>
      <c r="N29" s="193">
        <f>(E23*(0.001))</f>
        <v>26.469840000000001</v>
      </c>
      <c r="O29" s="193">
        <f>C23</f>
        <v>1671.11</v>
      </c>
      <c r="P29" s="222"/>
    </row>
    <row r="30" spans="1:16" ht="13.5" thickBot="1" x14ac:dyDescent="0.25">
      <c r="A30" s="171"/>
      <c r="B30" s="93" t="s">
        <v>5</v>
      </c>
      <c r="C30" s="94">
        <f>IF(B16="",0,C27+C29)</f>
        <v>1728.11</v>
      </c>
      <c r="D30" s="577">
        <f>IF(C30=0,0,E30/C30)</f>
        <v>16.178900648685559</v>
      </c>
      <c r="E30" s="96">
        <f>IF(B16="",0,E27+E29)</f>
        <v>27958.92</v>
      </c>
      <c r="F30" s="196"/>
      <c r="G30" s="196"/>
      <c r="H30" s="197"/>
      <c r="I30" s="198"/>
      <c r="J30" s="198"/>
      <c r="K30" s="199"/>
      <c r="L30" s="394"/>
      <c r="M30" s="394"/>
      <c r="N30" s="193"/>
      <c r="O30" s="193"/>
      <c r="P30" s="222"/>
    </row>
    <row r="31" spans="1:16" x14ac:dyDescent="0.2">
      <c r="A31" s="171"/>
      <c r="B31" s="249" t="s">
        <v>72</v>
      </c>
      <c r="C31" s="269">
        <f>IF(B16="","",O23-C18)</f>
        <v>608.8900000000001</v>
      </c>
      <c r="D31" s="552" t="s">
        <v>121</v>
      </c>
      <c r="E31" s="261"/>
      <c r="F31" s="148"/>
      <c r="G31" s="177"/>
      <c r="H31" s="178"/>
      <c r="I31" s="179"/>
      <c r="J31" s="179"/>
      <c r="K31" s="163"/>
      <c r="L31" s="394"/>
      <c r="M31" s="394"/>
      <c r="N31" s="193">
        <f>N27</f>
        <v>29.521319999999999</v>
      </c>
      <c r="O31" s="193">
        <f>O27</f>
        <v>1788.11</v>
      </c>
      <c r="P31" s="222"/>
    </row>
    <row r="32" spans="1:16" ht="13.5" thickBot="1" x14ac:dyDescent="0.25">
      <c r="A32" s="171"/>
      <c r="B32" s="273" t="s">
        <v>106</v>
      </c>
      <c r="C32" s="268">
        <f>IF(B16="","",C31-C24)</f>
        <v>488.8900000000001</v>
      </c>
      <c r="D32" s="259"/>
      <c r="E32" s="276"/>
      <c r="F32" s="148"/>
      <c r="G32" s="151"/>
      <c r="H32" s="172"/>
      <c r="I32" s="308" t="s">
        <v>79</v>
      </c>
      <c r="J32" s="180"/>
      <c r="K32" s="164"/>
      <c r="L32" s="394"/>
      <c r="M32" s="394"/>
      <c r="N32" s="193">
        <v>32</v>
      </c>
      <c r="O32" s="193">
        <v>1899.1</v>
      </c>
      <c r="P32" s="222"/>
    </row>
    <row r="33" spans="1:16" ht="13.5" thickBot="1" x14ac:dyDescent="0.25">
      <c r="A33" s="171"/>
      <c r="B33" s="282" t="s">
        <v>73</v>
      </c>
      <c r="C33" s="283">
        <f>IF(C32="","",C32-(C19+C20+C21))</f>
        <v>158.8900000000001</v>
      </c>
      <c r="D33" s="632" t="str">
        <f>IF(C33&lt;0,"&lt;&lt;&lt;&lt;&lt;&lt;  Over Loaded! ","")</f>
        <v/>
      </c>
      <c r="E33" s="633"/>
      <c r="F33" s="148"/>
      <c r="G33" s="153"/>
      <c r="H33" s="153"/>
      <c r="I33" s="296">
        <v>25</v>
      </c>
      <c r="J33" s="153"/>
      <c r="K33" s="168"/>
      <c r="L33" s="394"/>
      <c r="M33" s="394"/>
      <c r="N33" s="168"/>
      <c r="O33" s="168"/>
      <c r="P33" s="222"/>
    </row>
    <row r="34" spans="1:16" x14ac:dyDescent="0.2">
      <c r="A34" s="171"/>
      <c r="B34" s="135"/>
      <c r="C34" s="135"/>
      <c r="D34" s="135"/>
      <c r="E34" s="135"/>
      <c r="F34" s="136"/>
      <c r="G34" s="389" t="s">
        <v>71</v>
      </c>
      <c r="H34" s="141">
        <v>220</v>
      </c>
      <c r="I34" s="295" t="s">
        <v>74</v>
      </c>
      <c r="J34" s="141"/>
      <c r="K34" s="187"/>
      <c r="L34" s="395"/>
      <c r="M34" s="394"/>
      <c r="N34" s="192">
        <f>E18*0.001</f>
        <v>16.839839999999999</v>
      </c>
      <c r="O34" s="397">
        <f>C18</f>
        <v>1341.11</v>
      </c>
      <c r="P34" s="575"/>
    </row>
    <row r="35" spans="1:16" ht="13.5" thickBot="1" x14ac:dyDescent="0.25">
      <c r="A35" s="171"/>
      <c r="B35" s="135"/>
      <c r="C35" s="135"/>
      <c r="D35" s="135"/>
      <c r="E35" s="135"/>
      <c r="F35" s="135"/>
      <c r="G35" s="389" t="s">
        <v>70</v>
      </c>
      <c r="H35" s="141">
        <v>11</v>
      </c>
      <c r="I35" s="295" t="s">
        <v>76</v>
      </c>
      <c r="J35" s="141"/>
      <c r="K35" s="302"/>
      <c r="L35" s="396"/>
      <c r="M35" s="394"/>
      <c r="N35" s="331"/>
      <c r="O35" s="196"/>
      <c r="P35" s="222"/>
    </row>
    <row r="36" spans="1:16" ht="13.5" thickBot="1" x14ac:dyDescent="0.25">
      <c r="A36" s="171"/>
      <c r="B36" s="249" t="s">
        <v>72</v>
      </c>
      <c r="C36" s="269">
        <f>IF(B21="","",O25-C18)</f>
        <v>458.8900000000001</v>
      </c>
      <c r="D36" s="552" t="s">
        <v>122</v>
      </c>
      <c r="E36" s="261"/>
      <c r="F36" s="242"/>
      <c r="G36" s="135"/>
      <c r="H36" s="153"/>
      <c r="I36" s="153"/>
      <c r="J36" s="153"/>
      <c r="K36" s="153"/>
      <c r="L36" s="243"/>
      <c r="M36" s="152"/>
      <c r="N36" s="193">
        <v>147</v>
      </c>
      <c r="O36" s="196"/>
      <c r="P36" s="222"/>
    </row>
    <row r="37" spans="1:16" ht="13.5" thickBot="1" x14ac:dyDescent="0.25">
      <c r="A37" s="171"/>
      <c r="B37" s="273" t="s">
        <v>106</v>
      </c>
      <c r="C37" s="268">
        <f>IF(B21="","",C36-C24)</f>
        <v>338.8900000000001</v>
      </c>
      <c r="D37" s="646" t="str">
        <f>IF(C10&gt;0, "No Baggage Allowed! ","")</f>
        <v/>
      </c>
      <c r="E37" s="647"/>
      <c r="F37" s="139"/>
      <c r="G37" s="613" t="s">
        <v>78</v>
      </c>
      <c r="H37" s="614"/>
      <c r="I37" s="194">
        <f>IF(H35="","",H35*ABS(SIN(RADIANS(H34-(I33*10)))))</f>
        <v>5.4999999999999991</v>
      </c>
      <c r="J37" s="137" t="s">
        <v>75</v>
      </c>
      <c r="K37" s="194" t="str">
        <f>IF(J35="","",J35*ABS(SIN(RADIANS(H34-(I33*10)))))</f>
        <v/>
      </c>
      <c r="L37" s="298"/>
      <c r="M37" s="152"/>
      <c r="N37" s="220">
        <v>23.7</v>
      </c>
      <c r="O37" s="196"/>
      <c r="P37" s="222"/>
    </row>
    <row r="38" spans="1:16" ht="13.5" thickBot="1" x14ac:dyDescent="0.25">
      <c r="A38" s="171"/>
      <c r="B38" s="282" t="s">
        <v>73</v>
      </c>
      <c r="C38" s="283">
        <f>IF(C37="","",C37-(C19+C20+C21))</f>
        <v>8.8900000000001</v>
      </c>
      <c r="D38" s="632" t="str">
        <f>IF(C10&gt;0, "&lt;&lt;&lt;&lt;&lt;&lt;  Over Loaded! ",(IF(C38&lt;0,"&lt;&lt;&lt;&lt;&lt;&lt;  Over Loaded! ","")))</f>
        <v/>
      </c>
      <c r="E38" s="633"/>
      <c r="F38" s="143"/>
      <c r="G38" s="613" t="s">
        <v>77</v>
      </c>
      <c r="H38" s="614"/>
      <c r="I38" s="194" t="str">
        <f>IF(J34="","",H35*ABS(SIN(RADIANS(H34-(I33*10)))))</f>
        <v/>
      </c>
      <c r="J38" s="195" t="s">
        <v>75</v>
      </c>
      <c r="K38" s="194" t="str">
        <f>IF(J34="","",IF(J35="",H35*ABS(SIN(RADIANS(J34-(I33*10)))),J35*ABS(SIN(RADIANS(J34-(I33*10))))))</f>
        <v/>
      </c>
      <c r="L38" s="297"/>
      <c r="M38" s="152"/>
      <c r="N38" s="345">
        <f>N36*N37</f>
        <v>3483.9</v>
      </c>
      <c r="O38" s="168"/>
      <c r="P38" s="222"/>
    </row>
    <row r="39" spans="1:16" x14ac:dyDescent="0.2">
      <c r="A39" s="171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297"/>
      <c r="M39" s="152"/>
      <c r="N39" s="345"/>
      <c r="O39" s="168"/>
      <c r="P39" s="222"/>
    </row>
    <row r="40" spans="1:16" x14ac:dyDescent="0.2">
      <c r="A40" s="171"/>
      <c r="B40" s="567"/>
      <c r="C40" s="567" t="s">
        <v>133</v>
      </c>
      <c r="D40" s="567" t="s">
        <v>134</v>
      </c>
      <c r="E40" s="193"/>
      <c r="F40" s="193"/>
      <c r="G40" s="193"/>
      <c r="H40" s="193"/>
      <c r="I40" s="193"/>
      <c r="J40" s="193"/>
      <c r="K40" s="193"/>
      <c r="L40" s="297"/>
      <c r="M40" s="152"/>
      <c r="N40" s="574"/>
      <c r="O40" s="503"/>
      <c r="P40" s="222"/>
    </row>
    <row r="41" spans="1:16" x14ac:dyDescent="0.2">
      <c r="A41" s="171"/>
      <c r="B41" s="567" t="s">
        <v>126</v>
      </c>
      <c r="C41" s="568">
        <v>107</v>
      </c>
      <c r="D41" s="568">
        <v>132</v>
      </c>
      <c r="E41" s="193"/>
      <c r="F41" s="193"/>
      <c r="G41" s="193"/>
      <c r="H41" s="193"/>
      <c r="I41" s="193"/>
      <c r="J41" s="193"/>
      <c r="K41" s="193"/>
      <c r="L41" s="297"/>
      <c r="M41" s="152"/>
      <c r="N41" s="574"/>
      <c r="O41" s="503"/>
      <c r="P41" s="222"/>
    </row>
    <row r="42" spans="1:16" x14ac:dyDescent="0.2">
      <c r="A42" s="171"/>
      <c r="B42" s="567" t="s">
        <v>128</v>
      </c>
      <c r="C42" s="569">
        <f>C41*(SQRT(C27/O21))</f>
        <v>106.64601724604836</v>
      </c>
      <c r="D42" s="569">
        <f>D41*(SQRT(C27/O21))</f>
        <v>131.56331099512508</v>
      </c>
      <c r="E42" s="193"/>
      <c r="F42" s="193"/>
      <c r="G42" s="193"/>
      <c r="H42" s="193"/>
      <c r="I42" s="193"/>
      <c r="J42" s="193"/>
      <c r="K42" s="193"/>
      <c r="L42" s="297"/>
      <c r="M42" s="152"/>
      <c r="N42" s="574"/>
      <c r="O42" s="503"/>
      <c r="P42" s="222"/>
    </row>
    <row r="43" spans="1:16" ht="13.5" thickBot="1" x14ac:dyDescent="0.25">
      <c r="A43" s="181"/>
      <c r="B43" s="570" t="s">
        <v>127</v>
      </c>
      <c r="C43" s="571">
        <f>C41*(SQRT(C30/O21))</f>
        <v>104.84149780078073</v>
      </c>
      <c r="D43" s="571">
        <f>D41*(SQRT(C30/O21))</f>
        <v>129.33717485703789</v>
      </c>
      <c r="E43" s="184"/>
      <c r="F43" s="184"/>
      <c r="G43" s="184"/>
      <c r="H43" s="184"/>
      <c r="I43" s="184"/>
      <c r="J43" s="184"/>
      <c r="K43" s="184"/>
      <c r="L43" s="184"/>
      <c r="M43" s="184"/>
      <c r="N43" s="501"/>
      <c r="O43" s="501"/>
      <c r="P43" s="502"/>
    </row>
  </sheetData>
  <mergeCells count="15">
    <mergeCell ref="G38:H38"/>
    <mergeCell ref="I11:L11"/>
    <mergeCell ref="N13:O13"/>
    <mergeCell ref="N14:O14"/>
    <mergeCell ref="D33:E33"/>
    <mergeCell ref="D38:E38"/>
    <mergeCell ref="D37:E37"/>
    <mergeCell ref="G37:H37"/>
    <mergeCell ref="E10:G10"/>
    <mergeCell ref="I14:J14"/>
    <mergeCell ref="B2:O2"/>
    <mergeCell ref="E4:G4"/>
    <mergeCell ref="I4:L4"/>
    <mergeCell ref="E7:G7"/>
    <mergeCell ref="E8:F8"/>
  </mergeCells>
  <dataValidations count="2">
    <dataValidation type="list" allowBlank="1" showInputMessage="1" showErrorMessage="1" sqref="C4" xr:uid="{00000000-0002-0000-0300-000000000000}">
      <formula1>$I$5:$I$10</formula1>
    </dataValidation>
    <dataValidation type="list" allowBlank="1" showInputMessage="1" showErrorMessage="1" sqref="C7" xr:uid="{00000000-0002-0000-0300-000001000000}">
      <formula1>$N$5:$N$7</formula1>
    </dataValidation>
  </dataValidations>
  <pageMargins left="0.7" right="0.7" top="0.75" bottom="0.75" header="0.3" footer="0.3"/>
  <pageSetup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3366FF"/>
    <pageSetUpPr fitToPage="1"/>
  </sheetPr>
  <dimension ref="A1:P39"/>
  <sheetViews>
    <sheetView tabSelected="1" zoomScale="90" zoomScaleNormal="90" workbookViewId="0">
      <selection activeCell="D19" sqref="D19"/>
    </sheetView>
  </sheetViews>
  <sheetFormatPr defaultRowHeight="12.75" x14ac:dyDescent="0.2"/>
  <cols>
    <col min="1" max="1" width="2.7109375" customWidth="1"/>
    <col min="2" max="2" width="21.5703125" customWidth="1"/>
    <col min="3" max="4" width="9.28515625" customWidth="1"/>
    <col min="5" max="5" width="10.140625" customWidth="1"/>
    <col min="7" max="7" width="14.85546875" customWidth="1"/>
    <col min="9" max="10" width="10" customWidth="1"/>
    <col min="11" max="11" width="9" customWidth="1"/>
    <col min="12" max="12" width="10.42578125" customWidth="1"/>
    <col min="13" max="13" width="2.7109375" customWidth="1"/>
    <col min="14" max="14" width="9.85546875" customWidth="1"/>
    <col min="15" max="15" width="7.7109375" customWidth="1"/>
    <col min="16" max="16" width="2.7109375" customWidth="1"/>
  </cols>
  <sheetData>
    <row r="1" spans="1:16" ht="13.5" thickBot="1" x14ac:dyDescent="0.25">
      <c r="A1" s="169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45"/>
    </row>
    <row r="2" spans="1:16" ht="13.5" thickBot="1" x14ac:dyDescent="0.25">
      <c r="A2" s="171"/>
      <c r="B2" s="619" t="s">
        <v>42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1"/>
      <c r="P2" s="146"/>
    </row>
    <row r="3" spans="1:16" ht="13.5" thickBot="1" x14ac:dyDescent="0.25">
      <c r="A3" s="171"/>
      <c r="B3" s="148"/>
      <c r="C3" s="148"/>
      <c r="D3" s="148"/>
      <c r="E3" s="148"/>
      <c r="F3" s="161"/>
      <c r="G3" s="148"/>
      <c r="H3" s="148"/>
      <c r="I3" s="175"/>
      <c r="J3" s="175"/>
      <c r="K3" s="175"/>
      <c r="L3" s="148"/>
      <c r="M3" s="148"/>
      <c r="N3" s="148"/>
      <c r="O3" s="148"/>
      <c r="P3" s="146"/>
    </row>
    <row r="4" spans="1:16" ht="13.5" thickBot="1" x14ac:dyDescent="0.25">
      <c r="A4" s="171"/>
      <c r="B4" s="4" t="s">
        <v>33</v>
      </c>
      <c r="C4" s="360" t="s">
        <v>154</v>
      </c>
      <c r="D4" s="148"/>
      <c r="E4" s="648" t="s">
        <v>45</v>
      </c>
      <c r="F4" s="650"/>
      <c r="G4" s="649"/>
      <c r="H4" s="149"/>
      <c r="I4" s="768" t="s">
        <v>19</v>
      </c>
      <c r="J4" s="769"/>
      <c r="K4" s="769"/>
      <c r="L4" s="770"/>
      <c r="M4" s="149"/>
      <c r="N4" s="148"/>
      <c r="O4" s="150"/>
      <c r="P4" s="146"/>
    </row>
    <row r="5" spans="1:16" ht="13.5" thickBot="1" x14ac:dyDescent="0.25">
      <c r="A5" s="171"/>
      <c r="B5" s="148"/>
      <c r="C5" s="148"/>
      <c r="D5" s="148"/>
      <c r="E5" s="4" t="s">
        <v>30</v>
      </c>
      <c r="F5" s="14"/>
      <c r="G5" s="63">
        <v>34</v>
      </c>
      <c r="H5" s="149"/>
      <c r="I5" s="766" t="s">
        <v>98</v>
      </c>
      <c r="J5" s="314">
        <f t="shared" ref="J5:J8" si="0">IF(I5="","",L5/K5)</f>
        <v>87.185963172336272</v>
      </c>
      <c r="K5" s="314">
        <v>1512.45</v>
      </c>
      <c r="L5" s="767">
        <v>131864.41</v>
      </c>
      <c r="M5" s="149"/>
      <c r="N5" s="148"/>
      <c r="O5" s="150"/>
      <c r="P5" s="146"/>
    </row>
    <row r="6" spans="1:16" ht="13.5" thickBot="1" x14ac:dyDescent="0.25">
      <c r="A6" s="171"/>
      <c r="B6" s="148"/>
      <c r="C6" s="148"/>
      <c r="D6" s="148"/>
      <c r="E6" s="148"/>
      <c r="F6" s="161"/>
      <c r="G6" s="161"/>
      <c r="H6" s="148"/>
      <c r="I6" s="322" t="s">
        <v>51</v>
      </c>
      <c r="J6" s="311">
        <f t="shared" ref="J6" si="1">IF(I6="","",L6/K6)</f>
        <v>86.479979253112035</v>
      </c>
      <c r="K6" s="311">
        <v>1446</v>
      </c>
      <c r="L6" s="563">
        <v>125050.05</v>
      </c>
      <c r="M6" s="148"/>
      <c r="N6" s="148"/>
      <c r="O6" s="148"/>
      <c r="P6" s="146"/>
    </row>
    <row r="7" spans="1:16" ht="13.5" thickBot="1" x14ac:dyDescent="0.25">
      <c r="A7" s="171"/>
      <c r="B7" s="148"/>
      <c r="C7" s="148"/>
      <c r="D7" s="148"/>
      <c r="E7" s="625" t="s">
        <v>40</v>
      </c>
      <c r="F7" s="626"/>
      <c r="G7" s="627"/>
      <c r="H7" s="148"/>
      <c r="I7" s="77" t="s">
        <v>143</v>
      </c>
      <c r="J7" s="311">
        <f t="shared" si="0"/>
        <v>86.653742260734688</v>
      </c>
      <c r="K7" s="76">
        <v>1495.62</v>
      </c>
      <c r="L7" s="78">
        <v>129601.07</v>
      </c>
      <c r="M7" s="148"/>
      <c r="N7" s="148"/>
      <c r="O7" s="148"/>
      <c r="P7" s="146"/>
    </row>
    <row r="8" spans="1:16" ht="13.5" thickBot="1" x14ac:dyDescent="0.25">
      <c r="A8" s="171"/>
      <c r="B8" s="116" t="s">
        <v>87</v>
      </c>
      <c r="C8" s="110">
        <v>200</v>
      </c>
      <c r="D8" s="148"/>
      <c r="E8" s="651" t="str">
        <f>"Total Fuel (gal)    ="</f>
        <v>Total Fuel (gal)    =</v>
      </c>
      <c r="F8" s="652"/>
      <c r="G8" s="62"/>
      <c r="H8" s="148"/>
      <c r="I8" s="610">
        <v>42787</v>
      </c>
      <c r="J8" s="311">
        <f t="shared" si="0"/>
        <v>86.170814266487213</v>
      </c>
      <c r="K8" s="765">
        <v>1486</v>
      </c>
      <c r="L8" s="611">
        <v>128049.83</v>
      </c>
      <c r="M8" s="148"/>
      <c r="N8" s="148"/>
      <c r="O8" s="148"/>
      <c r="P8" s="146"/>
    </row>
    <row r="9" spans="1:16" ht="13.5" thickBot="1" x14ac:dyDescent="0.25">
      <c r="A9" s="171"/>
      <c r="B9" s="116" t="s">
        <v>89</v>
      </c>
      <c r="C9" s="65">
        <v>185</v>
      </c>
      <c r="D9" s="148"/>
      <c r="E9" s="148"/>
      <c r="F9" s="148"/>
      <c r="G9" s="148"/>
      <c r="H9" s="148"/>
      <c r="I9" s="77">
        <v>56849</v>
      </c>
      <c r="J9" s="612">
        <f>IF(I9=" "," ",L9/K9)</f>
        <v>87.050034506556244</v>
      </c>
      <c r="K9" s="76">
        <v>1449</v>
      </c>
      <c r="L9" s="78">
        <v>126135.5</v>
      </c>
      <c r="M9" s="151"/>
      <c r="N9" s="196"/>
      <c r="O9" s="196"/>
      <c r="P9" s="146"/>
    </row>
    <row r="10" spans="1:16" ht="13.5" thickBot="1" x14ac:dyDescent="0.25">
      <c r="A10" s="171"/>
      <c r="B10" s="74" t="s">
        <v>90</v>
      </c>
      <c r="C10" s="65">
        <v>10</v>
      </c>
      <c r="D10" s="148"/>
      <c r="E10" s="616" t="s">
        <v>22</v>
      </c>
      <c r="F10" s="617"/>
      <c r="G10" s="618"/>
      <c r="H10" s="148"/>
      <c r="I10" s="77">
        <v>17324</v>
      </c>
      <c r="J10" s="612">
        <f>IF(I10=" "," ",L10/K10)</f>
        <v>87.746794448116319</v>
      </c>
      <c r="K10" s="76">
        <v>1513</v>
      </c>
      <c r="L10" s="78">
        <v>132760.9</v>
      </c>
      <c r="M10" s="152"/>
      <c r="N10" s="196"/>
      <c r="O10" s="196"/>
      <c r="P10" s="147"/>
    </row>
    <row r="11" spans="1:16" ht="13.5" thickBot="1" x14ac:dyDescent="0.25">
      <c r="A11" s="171"/>
      <c r="B11" s="74" t="s">
        <v>91</v>
      </c>
      <c r="C11" s="65"/>
      <c r="D11" s="148"/>
      <c r="E11" s="24" t="str">
        <f>"Total Fuel (gal)       ="</f>
        <v>Total Fuel (gal)       =</v>
      </c>
      <c r="F11" s="11"/>
      <c r="G11" s="64">
        <v>10</v>
      </c>
      <c r="H11" s="148"/>
      <c r="I11" s="771" t="s">
        <v>154</v>
      </c>
      <c r="J11" s="772">
        <f>IF(I11=" "," ",L11/K11)</f>
        <v>84.978088737201361</v>
      </c>
      <c r="K11" s="773">
        <v>1465</v>
      </c>
      <c r="L11" s="774">
        <v>124492.9</v>
      </c>
      <c r="M11" s="158"/>
      <c r="N11" s="167">
        <v>93</v>
      </c>
      <c r="O11" s="167">
        <f>C19</f>
        <v>1465</v>
      </c>
      <c r="P11" s="222"/>
    </row>
    <row r="12" spans="1:16" ht="13.5" thickBot="1" x14ac:dyDescent="0.25">
      <c r="A12" s="171"/>
      <c r="B12" s="74" t="s">
        <v>13</v>
      </c>
      <c r="C12" s="62">
        <v>10</v>
      </c>
      <c r="D12" s="148"/>
      <c r="E12" s="15" t="s">
        <v>27</v>
      </c>
      <c r="F12" s="25"/>
      <c r="G12" s="66">
        <v>1</v>
      </c>
      <c r="H12" s="148"/>
      <c r="I12" s="173"/>
      <c r="J12" s="158"/>
      <c r="K12" s="148"/>
      <c r="L12" s="158"/>
      <c r="M12" s="158"/>
      <c r="N12" s="167">
        <v>83</v>
      </c>
      <c r="O12" s="167">
        <f>C19</f>
        <v>1465</v>
      </c>
      <c r="P12" s="222"/>
    </row>
    <row r="13" spans="1:16" x14ac:dyDescent="0.2">
      <c r="A13" s="171"/>
      <c r="B13" s="148"/>
      <c r="C13" s="148"/>
      <c r="D13" s="148"/>
      <c r="E13" s="148"/>
      <c r="F13" s="148"/>
      <c r="G13" s="161"/>
      <c r="H13" s="148"/>
      <c r="I13" s="148"/>
      <c r="J13" s="148"/>
      <c r="K13" s="148"/>
      <c r="L13" s="158"/>
      <c r="M13" s="158"/>
      <c r="N13" s="167">
        <v>83</v>
      </c>
      <c r="O13" s="167">
        <v>1950</v>
      </c>
      <c r="P13" s="222"/>
    </row>
    <row r="14" spans="1:16" ht="13.5" thickBot="1" x14ac:dyDescent="0.25">
      <c r="A14" s="171"/>
      <c r="B14" s="148"/>
      <c r="C14" s="148"/>
      <c r="D14" s="148"/>
      <c r="E14" s="148"/>
      <c r="F14" s="159"/>
      <c r="G14" s="159"/>
      <c r="H14" s="159"/>
      <c r="I14" s="159"/>
      <c r="J14" s="159"/>
      <c r="K14" s="159"/>
      <c r="L14" s="158"/>
      <c r="M14" s="158"/>
      <c r="N14" s="167">
        <v>87</v>
      </c>
      <c r="O14" s="167">
        <v>2325</v>
      </c>
      <c r="P14" s="222"/>
    </row>
    <row r="15" spans="1:16" ht="13.5" thickBot="1" x14ac:dyDescent="0.25">
      <c r="A15" s="171"/>
      <c r="B15" s="148"/>
      <c r="C15" s="148"/>
      <c r="D15" s="148"/>
      <c r="E15" s="148"/>
      <c r="F15" s="161"/>
      <c r="G15" s="160"/>
      <c r="H15" s="648" t="str">
        <f>IF(B17="8229P","Archer Envelope","Warrior Envelope")</f>
        <v>Warrior Envelope</v>
      </c>
      <c r="I15" s="649"/>
      <c r="J15" s="359"/>
      <c r="K15" s="160"/>
      <c r="L15" s="158"/>
      <c r="M15" s="158"/>
      <c r="N15" s="167">
        <v>93</v>
      </c>
      <c r="O15" s="167">
        <v>2325</v>
      </c>
      <c r="P15" s="222"/>
    </row>
    <row r="16" spans="1:16" x14ac:dyDescent="0.2">
      <c r="A16" s="171"/>
      <c r="B16" s="90" t="s">
        <v>2</v>
      </c>
      <c r="C16" s="91" t="s">
        <v>0</v>
      </c>
      <c r="D16" s="91" t="s">
        <v>3</v>
      </c>
      <c r="E16" s="92" t="s">
        <v>1</v>
      </c>
      <c r="F16" s="161"/>
      <c r="G16" s="148"/>
      <c r="H16" s="148"/>
      <c r="I16" s="148"/>
      <c r="J16" s="148"/>
      <c r="K16" s="161"/>
      <c r="L16" s="158"/>
      <c r="M16" s="158"/>
      <c r="N16" s="167">
        <v>93</v>
      </c>
      <c r="O16" s="167">
        <f>C19</f>
        <v>1465</v>
      </c>
      <c r="P16" s="222"/>
    </row>
    <row r="17" spans="1:16" x14ac:dyDescent="0.2">
      <c r="A17" s="171"/>
      <c r="B17" s="30" t="str">
        <f>C4</f>
        <v>120BJ</v>
      </c>
      <c r="C17" s="7"/>
      <c r="D17" s="26"/>
      <c r="E17" s="5"/>
      <c r="F17" s="161"/>
      <c r="G17" s="148"/>
      <c r="H17" s="148"/>
      <c r="I17" s="148"/>
      <c r="J17" s="148"/>
      <c r="K17" s="148"/>
      <c r="L17" s="158"/>
      <c r="M17" s="158"/>
      <c r="N17" s="167"/>
      <c r="O17" s="167"/>
      <c r="P17" s="222"/>
    </row>
    <row r="18" spans="1:16" x14ac:dyDescent="0.2">
      <c r="A18" s="171"/>
      <c r="B18" s="1"/>
      <c r="C18" s="9"/>
      <c r="D18" s="27"/>
      <c r="E18" s="6"/>
      <c r="F18" s="161"/>
      <c r="G18" s="148"/>
      <c r="H18" s="148"/>
      <c r="I18" s="148"/>
      <c r="J18" s="148"/>
      <c r="K18" s="148"/>
      <c r="L18" s="158"/>
      <c r="M18" s="158"/>
      <c r="N18" s="167">
        <v>93</v>
      </c>
      <c r="O18" s="167">
        <f>C19</f>
        <v>1465</v>
      </c>
      <c r="P18" s="222"/>
    </row>
    <row r="19" spans="1:16" x14ac:dyDescent="0.2">
      <c r="A19" s="171"/>
      <c r="B19" s="1" t="s">
        <v>31</v>
      </c>
      <c r="C19" s="37">
        <f>IF(B17=I5,K5,IF(B17=I6,K6,IF(B17=I7,K7,IF(B17=I8,K8,IF(B17=I9,K9,IF(B17=I10,K10,IF(B17=I11,K11," ")))))))</f>
        <v>1465</v>
      </c>
      <c r="D19" s="28">
        <f>IF(C19=0,0,(E19/C19))</f>
        <v>84.978088737201361</v>
      </c>
      <c r="E19" s="71">
        <f>IF(B17=I5,L5,IF(B17=I6,L6,IF(B17=I7,L7,IF(B17=I8,L8,IF(B17=I9,L9,IF(B17=I10,L10,IF(B17=I11,L11," ")))))))</f>
        <v>124492.9</v>
      </c>
      <c r="F19" s="148"/>
      <c r="G19" s="148"/>
      <c r="H19" s="148"/>
      <c r="I19" s="148"/>
      <c r="J19" s="148"/>
      <c r="K19" s="148"/>
      <c r="L19" s="158"/>
      <c r="M19" s="158"/>
      <c r="N19" s="167">
        <v>83</v>
      </c>
      <c r="O19" s="167">
        <f>C19</f>
        <v>1465</v>
      </c>
      <c r="P19" s="222"/>
    </row>
    <row r="20" spans="1:16" x14ac:dyDescent="0.2">
      <c r="A20" s="171"/>
      <c r="B20" s="73" t="s">
        <v>81</v>
      </c>
      <c r="C20" s="20">
        <f>IF(B17="",0,C8+C9)</f>
        <v>385</v>
      </c>
      <c r="D20" s="28">
        <v>80.5</v>
      </c>
      <c r="E20" s="17">
        <f>IF(C20=0,0,C20*D20)</f>
        <v>30992.5</v>
      </c>
      <c r="F20" s="148"/>
      <c r="G20" s="148"/>
      <c r="H20" s="150"/>
      <c r="I20" s="150"/>
      <c r="J20" s="150"/>
      <c r="K20" s="150"/>
      <c r="L20" s="158"/>
      <c r="M20" s="158"/>
      <c r="N20" s="167">
        <v>83</v>
      </c>
      <c r="O20" s="167">
        <v>1950</v>
      </c>
      <c r="P20" s="222"/>
    </row>
    <row r="21" spans="1:16" x14ac:dyDescent="0.2">
      <c r="A21" s="171"/>
      <c r="B21" s="73" t="s">
        <v>82</v>
      </c>
      <c r="C21" s="20">
        <f>IF(B17="",0,C10+C11)</f>
        <v>10</v>
      </c>
      <c r="D21" s="28">
        <v>118.1</v>
      </c>
      <c r="E21" s="17">
        <f>IF(C21=0,0,C21*D21)</f>
        <v>1181</v>
      </c>
      <c r="F21" s="148"/>
      <c r="G21" s="148"/>
      <c r="H21" s="148"/>
      <c r="I21" s="148"/>
      <c r="J21" s="148"/>
      <c r="K21" s="148"/>
      <c r="L21" s="158"/>
      <c r="M21" s="158"/>
      <c r="N21" s="167">
        <v>93</v>
      </c>
      <c r="O21" s="167">
        <v>1950</v>
      </c>
      <c r="P21" s="222"/>
    </row>
    <row r="22" spans="1:16" x14ac:dyDescent="0.2">
      <c r="A22" s="171"/>
      <c r="B22" s="10" t="s">
        <v>13</v>
      </c>
      <c r="C22" s="20">
        <f>C12</f>
        <v>10</v>
      </c>
      <c r="D22" s="28">
        <v>142.80000000000001</v>
      </c>
      <c r="E22" s="17">
        <f>IF(C22=0,0,C22*D22)</f>
        <v>1428</v>
      </c>
      <c r="F22" s="148"/>
      <c r="G22" s="148"/>
      <c r="H22" s="161"/>
      <c r="I22" s="161"/>
      <c r="J22" s="161"/>
      <c r="K22" s="161"/>
      <c r="L22" s="158"/>
      <c r="M22" s="158"/>
      <c r="N22" s="167">
        <v>93</v>
      </c>
      <c r="O22" s="167">
        <f>C19</f>
        <v>1465</v>
      </c>
      <c r="P22" s="222"/>
    </row>
    <row r="23" spans="1:16" x14ac:dyDescent="0.2">
      <c r="A23" s="171"/>
      <c r="B23" s="93" t="s">
        <v>16</v>
      </c>
      <c r="C23" s="94">
        <f>IF(B17=0,0,SUM(C19:C22))</f>
        <v>1870</v>
      </c>
      <c r="D23" s="95">
        <f>E23/C23</f>
        <v>84.542459893048118</v>
      </c>
      <c r="E23" s="96">
        <f>IF(B17="",0,SUM(E19:E22))</f>
        <v>158094.39999999999</v>
      </c>
      <c r="F23" s="148"/>
      <c r="G23" s="148"/>
      <c r="H23" s="148"/>
      <c r="I23" s="159"/>
      <c r="J23" s="159"/>
      <c r="K23" s="159"/>
      <c r="L23" s="158"/>
      <c r="M23" s="158"/>
      <c r="N23" s="560"/>
      <c r="O23" s="560"/>
      <c r="P23" s="222"/>
    </row>
    <row r="24" spans="1:16" x14ac:dyDescent="0.2">
      <c r="A24" s="171"/>
      <c r="B24" s="1" t="s">
        <v>32</v>
      </c>
      <c r="C24" s="19">
        <f>IF(C19=0,0,IF(G8="",G5*6,G8*6))</f>
        <v>204</v>
      </c>
      <c r="D24" s="29">
        <f>IF(B17="",0,95)</f>
        <v>95</v>
      </c>
      <c r="E24" s="17">
        <f>IF(C24=0,0,C24*D24)</f>
        <v>19380</v>
      </c>
      <c r="F24" s="148"/>
      <c r="G24" s="162"/>
      <c r="H24" s="162"/>
      <c r="I24" s="162"/>
      <c r="J24" s="162"/>
      <c r="K24" s="162"/>
      <c r="L24" s="158"/>
      <c r="M24" s="158"/>
      <c r="N24" s="167"/>
      <c r="O24" s="167"/>
      <c r="P24" s="222"/>
    </row>
    <row r="25" spans="1:16" x14ac:dyDescent="0.2">
      <c r="A25" s="171"/>
      <c r="B25" s="1"/>
      <c r="C25" s="130"/>
      <c r="D25" s="22"/>
      <c r="E25" s="23"/>
      <c r="F25" s="148"/>
      <c r="G25" s="177"/>
      <c r="H25" s="178"/>
      <c r="I25" s="190"/>
      <c r="J25" s="190"/>
      <c r="K25" s="163"/>
      <c r="L25" s="158"/>
      <c r="M25" s="196"/>
      <c r="N25" s="167">
        <f>D27</f>
        <v>85.543713733075435</v>
      </c>
      <c r="O25" s="167">
        <f>C27</f>
        <v>2068</v>
      </c>
      <c r="P25" s="222"/>
    </row>
    <row r="26" spans="1:16" x14ac:dyDescent="0.2">
      <c r="A26" s="171"/>
      <c r="B26" s="10" t="s">
        <v>28</v>
      </c>
      <c r="C26" s="57">
        <f>IF(B17="",0,G12*6)*-1</f>
        <v>-6</v>
      </c>
      <c r="D26" s="29">
        <f>IF(B17="",0,95)</f>
        <v>95</v>
      </c>
      <c r="E26" s="17">
        <f>IF(C26=0,0,C26*D26)</f>
        <v>-570</v>
      </c>
      <c r="F26" s="148"/>
      <c r="G26" s="177"/>
      <c r="H26" s="178"/>
      <c r="I26" s="190"/>
      <c r="J26" s="190"/>
      <c r="K26" s="163"/>
      <c r="L26" s="158"/>
      <c r="M26" s="196"/>
      <c r="N26" s="167">
        <f>D30</f>
        <v>85.261155378486052</v>
      </c>
      <c r="O26" s="167">
        <f>C30</f>
        <v>2008</v>
      </c>
      <c r="P26" s="222"/>
    </row>
    <row r="27" spans="1:16" x14ac:dyDescent="0.2">
      <c r="A27" s="171"/>
      <c r="B27" s="93" t="s">
        <v>4</v>
      </c>
      <c r="C27" s="94">
        <f>IF(B17="",0,SUM(C23:C24)+C26)</f>
        <v>2068</v>
      </c>
      <c r="D27" s="95">
        <f>IF(C27=0,0,E27/C27)</f>
        <v>85.543713733075435</v>
      </c>
      <c r="E27" s="96">
        <f>IF(B17="",0,SUM(E23:E26))</f>
        <v>176904.4</v>
      </c>
      <c r="F27" s="148"/>
      <c r="G27" s="177"/>
      <c r="H27" s="178"/>
      <c r="I27" s="190"/>
      <c r="J27" s="190"/>
      <c r="K27" s="163"/>
      <c r="L27" s="158"/>
      <c r="M27" s="196"/>
      <c r="N27" s="167">
        <f>D23</f>
        <v>84.542459893048118</v>
      </c>
      <c r="O27" s="167">
        <f>C23</f>
        <v>1870</v>
      </c>
      <c r="P27" s="222"/>
    </row>
    <row r="28" spans="1:16" x14ac:dyDescent="0.2">
      <c r="A28" s="171"/>
      <c r="B28" s="1"/>
      <c r="C28" s="19"/>
      <c r="D28" s="29"/>
      <c r="E28" s="23"/>
      <c r="F28" s="148"/>
      <c r="G28" s="177"/>
      <c r="H28" s="178"/>
      <c r="I28" s="190"/>
      <c r="J28" s="190"/>
      <c r="K28" s="163"/>
      <c r="L28" s="158"/>
      <c r="M28" s="196"/>
      <c r="N28" s="560"/>
      <c r="O28" s="560"/>
      <c r="P28" s="222"/>
    </row>
    <row r="29" spans="1:16" x14ac:dyDescent="0.2">
      <c r="A29" s="171"/>
      <c r="B29" s="10" t="s">
        <v>14</v>
      </c>
      <c r="C29" s="19">
        <f>IF(B17="",0,(G11*6))*-1</f>
        <v>-60</v>
      </c>
      <c r="D29" s="29">
        <f>IF(B17="",0,95)</f>
        <v>95</v>
      </c>
      <c r="E29" s="17">
        <f>IF(C29=0,0,C29*D29)</f>
        <v>-5700</v>
      </c>
      <c r="F29" s="148"/>
      <c r="G29" s="177"/>
      <c r="H29" s="178"/>
      <c r="I29" s="179"/>
      <c r="J29" s="179"/>
      <c r="K29" s="163"/>
      <c r="L29" s="158"/>
      <c r="M29" s="196"/>
      <c r="N29" s="167"/>
      <c r="O29" s="193"/>
      <c r="P29" s="222"/>
    </row>
    <row r="30" spans="1:16" ht="13.5" thickBot="1" x14ac:dyDescent="0.25">
      <c r="A30" s="171"/>
      <c r="B30" s="93" t="s">
        <v>5</v>
      </c>
      <c r="C30" s="94">
        <f>IF(B17="",0,C27+C29)</f>
        <v>2008</v>
      </c>
      <c r="D30" s="95">
        <f>IF(C30=0,0,E30/C30)</f>
        <v>85.261155378486052</v>
      </c>
      <c r="E30" s="96">
        <f>IF(B17="",0,E27+E29)</f>
        <v>171204.4</v>
      </c>
      <c r="F30" s="148"/>
      <c r="G30" s="177"/>
      <c r="H30" s="178"/>
      <c r="I30" s="179"/>
      <c r="J30" s="179"/>
      <c r="K30" s="163"/>
      <c r="L30" s="158"/>
      <c r="M30" s="196"/>
      <c r="N30" s="167">
        <f>D19</f>
        <v>84.978088737201361</v>
      </c>
      <c r="O30" s="193">
        <f>C19</f>
        <v>1465</v>
      </c>
      <c r="P30" s="222"/>
    </row>
    <row r="31" spans="1:16" x14ac:dyDescent="0.2">
      <c r="A31" s="171"/>
      <c r="B31" s="263" t="s">
        <v>72</v>
      </c>
      <c r="C31" s="269">
        <f>O15-O16</f>
        <v>860</v>
      </c>
      <c r="D31" s="266"/>
      <c r="E31" s="261"/>
      <c r="F31" s="148"/>
      <c r="G31" s="177"/>
      <c r="H31" s="178"/>
      <c r="I31" s="179"/>
      <c r="J31" s="179"/>
      <c r="K31" s="163"/>
      <c r="L31" s="158"/>
      <c r="M31" s="196"/>
      <c r="N31" s="196"/>
      <c r="O31" s="196"/>
      <c r="P31" s="222"/>
    </row>
    <row r="32" spans="1:16" ht="13.5" thickBot="1" x14ac:dyDescent="0.25">
      <c r="A32" s="171"/>
      <c r="B32" s="264" t="s">
        <v>93</v>
      </c>
      <c r="C32" s="268">
        <f>(O15-O16)-C24</f>
        <v>656</v>
      </c>
      <c r="D32" s="260"/>
      <c r="E32" s="262"/>
      <c r="F32" s="176"/>
      <c r="G32" s="151"/>
      <c r="H32" s="172"/>
      <c r="I32" s="308" t="s">
        <v>79</v>
      </c>
      <c r="J32" s="180"/>
      <c r="K32" s="164"/>
      <c r="L32" s="158"/>
      <c r="M32" s="196"/>
      <c r="N32" s="201"/>
      <c r="O32" s="196"/>
      <c r="P32" s="222"/>
    </row>
    <row r="33" spans="1:16" ht="13.5" thickBot="1" x14ac:dyDescent="0.25">
      <c r="A33" s="171"/>
      <c r="B33" s="265" t="s">
        <v>73</v>
      </c>
      <c r="C33" s="270">
        <f>IF(C31="","",C31-(C24+SUM(C8:C12)))</f>
        <v>251</v>
      </c>
      <c r="D33" s="632" t="str">
        <f>IF(C33&lt;0,"&lt;&lt;&lt;&lt;&lt;&lt;  Over Loaded! ","")</f>
        <v/>
      </c>
      <c r="E33" s="633"/>
      <c r="F33" s="303"/>
      <c r="G33" s="148"/>
      <c r="H33" s="148"/>
      <c r="I33" s="296">
        <v>25</v>
      </c>
      <c r="J33" s="148"/>
      <c r="K33" s="196"/>
      <c r="L33" s="158"/>
      <c r="M33" s="196"/>
      <c r="N33" s="193"/>
      <c r="O33" s="193"/>
      <c r="P33" s="222"/>
    </row>
    <row r="34" spans="1:16" x14ac:dyDescent="0.2">
      <c r="A34" s="171"/>
      <c r="B34" s="242"/>
      <c r="C34" s="242"/>
      <c r="D34" s="242"/>
      <c r="E34" s="242"/>
      <c r="F34" s="303"/>
      <c r="G34" s="357" t="s">
        <v>71</v>
      </c>
      <c r="H34" s="141">
        <v>210</v>
      </c>
      <c r="I34" s="295" t="s">
        <v>74</v>
      </c>
      <c r="J34" s="141"/>
      <c r="K34" s="187"/>
      <c r="L34" s="304"/>
      <c r="M34" s="331"/>
      <c r="N34" s="193"/>
      <c r="O34" s="193"/>
      <c r="P34" s="222"/>
    </row>
    <row r="35" spans="1:16" x14ac:dyDescent="0.2">
      <c r="A35" s="171"/>
      <c r="B35" s="567" t="s">
        <v>126</v>
      </c>
      <c r="C35" s="568">
        <v>111</v>
      </c>
      <c r="D35" s="304"/>
      <c r="E35" s="304"/>
      <c r="F35" s="303"/>
      <c r="G35" s="357" t="s">
        <v>70</v>
      </c>
      <c r="H35" s="141">
        <v>10</v>
      </c>
      <c r="I35" s="295" t="s">
        <v>76</v>
      </c>
      <c r="J35" s="141">
        <v>15</v>
      </c>
      <c r="K35" s="369"/>
      <c r="L35" s="304"/>
      <c r="M35" s="331"/>
      <c r="N35" s="331"/>
      <c r="O35" s="196"/>
      <c r="P35" s="222"/>
    </row>
    <row r="36" spans="1:16" x14ac:dyDescent="0.2">
      <c r="A36" s="171"/>
      <c r="B36" s="567" t="s">
        <v>128</v>
      </c>
      <c r="C36" s="569">
        <f>C35*(SQRT(C27/O15))</f>
        <v>104.68555681874942</v>
      </c>
      <c r="D36" s="307"/>
      <c r="E36" s="304"/>
      <c r="F36" s="242"/>
      <c r="G36" s="242"/>
      <c r="H36" s="148"/>
      <c r="I36" s="148"/>
      <c r="J36" s="148"/>
      <c r="K36" s="148"/>
      <c r="L36" s="500"/>
      <c r="M36" s="331"/>
      <c r="N36" s="193"/>
      <c r="O36" s="196"/>
      <c r="P36" s="222"/>
    </row>
    <row r="37" spans="1:16" x14ac:dyDescent="0.2">
      <c r="A37" s="171"/>
      <c r="B37" s="567" t="s">
        <v>127</v>
      </c>
      <c r="C37" s="569">
        <f>C35*(SQRT(C30/O15))</f>
        <v>103.15572943917866</v>
      </c>
      <c r="D37" s="300"/>
      <c r="E37" s="305"/>
      <c r="F37" s="148"/>
      <c r="G37" s="613" t="s">
        <v>78</v>
      </c>
      <c r="H37" s="614"/>
      <c r="I37" s="194">
        <f>IF(H35="","",H35*ABS(SIN(RADIANS(H34-(I33*10)))))</f>
        <v>6.4278760968653925</v>
      </c>
      <c r="J37" s="137" t="s">
        <v>75</v>
      </c>
      <c r="K37" s="194">
        <f>IF(J35="","",J35*ABS(SIN(RADIANS(H34-(I33*10)))))</f>
        <v>9.6418141452980883</v>
      </c>
      <c r="L37" s="298"/>
      <c r="M37" s="331"/>
      <c r="N37" s="220">
        <v>95</v>
      </c>
      <c r="O37" s="196"/>
      <c r="P37" s="222"/>
    </row>
    <row r="38" spans="1:16" x14ac:dyDescent="0.2">
      <c r="A38" s="171"/>
      <c r="B38" s="304"/>
      <c r="C38" s="306"/>
      <c r="D38" s="301"/>
      <c r="E38" s="300"/>
      <c r="F38" s="148"/>
      <c r="G38" s="613" t="s">
        <v>77</v>
      </c>
      <c r="H38" s="614"/>
      <c r="I38" s="194" t="str">
        <f>IF(J34="","",H35*ABS(SIN(RADIANS(H34-(I33*10)))))</f>
        <v/>
      </c>
      <c r="J38" s="195" t="s">
        <v>75</v>
      </c>
      <c r="K38" s="194" t="str">
        <f>IF(J34="","",IF(J35="",H35*ABS(SIN(RADIANS(J34-(I33*10)))),J35*ABS(SIN(RADIANS(J34-(I33*10))))))</f>
        <v/>
      </c>
      <c r="L38" s="298"/>
      <c r="M38" s="196"/>
      <c r="N38" s="331">
        <v>27360</v>
      </c>
      <c r="O38" s="196"/>
      <c r="P38" s="222"/>
    </row>
    <row r="39" spans="1:16" ht="13.5" thickBot="1" x14ac:dyDescent="0.25">
      <c r="A39" s="181"/>
      <c r="B39" s="184"/>
      <c r="C39" s="184"/>
      <c r="D39" s="184"/>
      <c r="E39" s="184"/>
      <c r="F39" s="371"/>
      <c r="G39" s="371"/>
      <c r="H39" s="373"/>
      <c r="I39" s="374"/>
      <c r="J39" s="375"/>
      <c r="K39" s="374"/>
      <c r="L39" s="376"/>
      <c r="M39" s="155"/>
      <c r="N39" s="501"/>
      <c r="O39" s="501"/>
      <c r="P39" s="502"/>
    </row>
  </sheetData>
  <mergeCells count="10">
    <mergeCell ref="G38:H38"/>
    <mergeCell ref="H15:I15"/>
    <mergeCell ref="B2:O2"/>
    <mergeCell ref="E4:G4"/>
    <mergeCell ref="I4:L4"/>
    <mergeCell ref="E7:G7"/>
    <mergeCell ref="E8:F8"/>
    <mergeCell ref="E10:G10"/>
    <mergeCell ref="D33:E33"/>
    <mergeCell ref="G37:H37"/>
  </mergeCells>
  <dataValidations count="1">
    <dataValidation type="list" allowBlank="1" showInputMessage="1" showErrorMessage="1" sqref="C4" xr:uid="{00000000-0002-0000-0400-000000000000}">
      <formula1>$I$5:$I$11</formula1>
    </dataValidation>
  </dataValidations>
  <pageMargins left="0.7" right="0.7" top="0.75" bottom="0.75" header="0.3" footer="0.3"/>
  <pageSetup scale="84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3366FF"/>
    <pageSetUpPr fitToPage="1"/>
  </sheetPr>
  <dimension ref="A1:P39"/>
  <sheetViews>
    <sheetView zoomScale="90" zoomScaleNormal="90" workbookViewId="0">
      <selection activeCell="J8" sqref="J8"/>
    </sheetView>
  </sheetViews>
  <sheetFormatPr defaultRowHeight="12.75" x14ac:dyDescent="0.2"/>
  <cols>
    <col min="1" max="1" width="2.7109375" customWidth="1"/>
    <col min="2" max="2" width="21.5703125" customWidth="1"/>
    <col min="3" max="4" width="9.28515625" customWidth="1"/>
    <col min="5" max="5" width="10.140625" customWidth="1"/>
    <col min="7" max="7" width="14.85546875" customWidth="1"/>
    <col min="9" max="10" width="10" customWidth="1"/>
    <col min="11" max="11" width="9" customWidth="1"/>
    <col min="12" max="12" width="10.85546875" customWidth="1"/>
    <col min="13" max="13" width="2.7109375" customWidth="1"/>
    <col min="14" max="14" width="9.85546875" customWidth="1"/>
    <col min="15" max="15" width="7.7109375" customWidth="1"/>
    <col min="16" max="16" width="2.7109375" customWidth="1"/>
  </cols>
  <sheetData>
    <row r="1" spans="1:16" ht="13.5" thickBot="1" x14ac:dyDescent="0.25">
      <c r="A1" s="169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45"/>
    </row>
    <row r="2" spans="1:16" ht="13.5" thickBot="1" x14ac:dyDescent="0.25">
      <c r="A2" s="171"/>
      <c r="B2" s="619" t="s">
        <v>42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1"/>
      <c r="P2" s="146"/>
    </row>
    <row r="3" spans="1:16" ht="13.5" thickBot="1" x14ac:dyDescent="0.25">
      <c r="A3" s="171"/>
      <c r="B3" s="148"/>
      <c r="C3" s="148"/>
      <c r="D3" s="148"/>
      <c r="E3" s="148"/>
      <c r="F3" s="161"/>
      <c r="G3" s="148"/>
      <c r="H3" s="148"/>
      <c r="I3" s="175"/>
      <c r="J3" s="175"/>
      <c r="K3" s="175"/>
      <c r="L3" s="148"/>
      <c r="M3" s="148"/>
      <c r="N3" s="148"/>
      <c r="O3" s="148"/>
      <c r="P3" s="146"/>
    </row>
    <row r="4" spans="1:16" ht="13.5" thickBot="1" x14ac:dyDescent="0.25">
      <c r="A4" s="171"/>
      <c r="B4" s="4" t="s">
        <v>33</v>
      </c>
      <c r="C4" s="128" t="s">
        <v>120</v>
      </c>
      <c r="D4" s="148"/>
      <c r="E4" s="648" t="s">
        <v>45</v>
      </c>
      <c r="F4" s="650"/>
      <c r="G4" s="649"/>
      <c r="H4" s="149"/>
      <c r="I4" s="648" t="s">
        <v>19</v>
      </c>
      <c r="J4" s="650"/>
      <c r="K4" s="650"/>
      <c r="L4" s="649"/>
      <c r="M4" s="149"/>
      <c r="N4" s="148"/>
      <c r="O4" s="150"/>
      <c r="P4" s="146"/>
    </row>
    <row r="5" spans="1:16" ht="13.5" thickBot="1" x14ac:dyDescent="0.25">
      <c r="A5" s="171"/>
      <c r="B5" s="148"/>
      <c r="C5" s="148"/>
      <c r="D5" s="148"/>
      <c r="E5" s="4" t="s">
        <v>30</v>
      </c>
      <c r="F5" s="14"/>
      <c r="G5" s="63">
        <v>48</v>
      </c>
      <c r="H5" s="149"/>
      <c r="I5" s="77" t="s">
        <v>69</v>
      </c>
      <c r="J5" s="311">
        <f>IF(I5="","",L5/K5)</f>
        <v>85.277570093457939</v>
      </c>
      <c r="K5" s="311">
        <v>1498</v>
      </c>
      <c r="L5" s="561">
        <v>127745.8</v>
      </c>
      <c r="M5" s="149"/>
      <c r="N5" s="148"/>
      <c r="O5" s="150"/>
      <c r="P5" s="146"/>
    </row>
    <row r="6" spans="1:16" ht="13.5" thickBot="1" x14ac:dyDescent="0.25">
      <c r="A6" s="171"/>
      <c r="B6" s="153"/>
      <c r="C6" s="153"/>
      <c r="D6" s="148"/>
      <c r="E6" s="148"/>
      <c r="F6" s="161"/>
      <c r="G6" s="161"/>
      <c r="H6" s="148"/>
      <c r="I6" s="77" t="s">
        <v>120</v>
      </c>
      <c r="J6" s="311">
        <f>IF(I6=" "," ",L6/K6)</f>
        <v>85.246854082998667</v>
      </c>
      <c r="K6" s="311">
        <v>1494</v>
      </c>
      <c r="L6" s="561">
        <v>127358.8</v>
      </c>
      <c r="M6" s="148"/>
      <c r="N6" s="148"/>
      <c r="O6" s="148"/>
      <c r="P6" s="146"/>
    </row>
    <row r="7" spans="1:16" ht="13.5" thickBot="1" x14ac:dyDescent="0.25">
      <c r="A7" s="171"/>
      <c r="B7" s="153"/>
      <c r="C7" s="153"/>
      <c r="D7" s="148"/>
      <c r="E7" s="625" t="s">
        <v>40</v>
      </c>
      <c r="F7" s="626"/>
      <c r="G7" s="627"/>
      <c r="H7" s="148"/>
      <c r="I7" s="321" t="s">
        <v>7</v>
      </c>
      <c r="J7" s="318">
        <f>IF(I7=" "," ",L7/K7)</f>
        <v>85.399999999999991</v>
      </c>
      <c r="K7" s="318">
        <v>1516</v>
      </c>
      <c r="L7" s="562">
        <v>129466.4</v>
      </c>
      <c r="M7" s="148"/>
      <c r="N7" s="148"/>
      <c r="O7" s="148"/>
      <c r="P7" s="146"/>
    </row>
    <row r="8" spans="1:16" ht="13.5" thickBot="1" x14ac:dyDescent="0.25">
      <c r="A8" s="171"/>
      <c r="B8" s="116" t="s">
        <v>87</v>
      </c>
      <c r="C8" s="110">
        <v>200</v>
      </c>
      <c r="D8" s="148"/>
      <c r="E8" s="628" t="str">
        <f>"Total Fuel (gal)    ="</f>
        <v>Total Fuel (gal)    =</v>
      </c>
      <c r="F8" s="629"/>
      <c r="G8" s="62"/>
      <c r="H8" s="148"/>
      <c r="I8" s="322"/>
      <c r="J8" s="311"/>
      <c r="K8" s="311"/>
      <c r="L8" s="563"/>
      <c r="M8" s="148"/>
      <c r="N8" s="148"/>
      <c r="O8" s="148"/>
      <c r="P8" s="146"/>
    </row>
    <row r="9" spans="1:16" ht="13.5" thickBot="1" x14ac:dyDescent="0.25">
      <c r="A9" s="171"/>
      <c r="B9" s="116" t="s">
        <v>89</v>
      </c>
      <c r="C9" s="65">
        <v>185</v>
      </c>
      <c r="D9" s="148"/>
      <c r="E9" s="153"/>
      <c r="F9" s="153"/>
      <c r="G9" s="153"/>
      <c r="H9" s="148"/>
      <c r="I9" s="172"/>
      <c r="J9" s="172"/>
      <c r="K9" s="156"/>
      <c r="L9" s="157"/>
      <c r="M9" s="151"/>
      <c r="N9" s="158"/>
      <c r="O9" s="158"/>
      <c r="P9" s="146"/>
    </row>
    <row r="10" spans="1:16" ht="13.5" thickBot="1" x14ac:dyDescent="0.25">
      <c r="A10" s="171"/>
      <c r="B10" s="74" t="s">
        <v>90</v>
      </c>
      <c r="C10" s="65">
        <v>240</v>
      </c>
      <c r="D10" s="148"/>
      <c r="E10" s="616" t="s">
        <v>22</v>
      </c>
      <c r="F10" s="617"/>
      <c r="G10" s="618"/>
      <c r="H10" s="148"/>
      <c r="I10" s="172"/>
      <c r="J10" s="172"/>
      <c r="K10" s="513"/>
      <c r="L10" s="214"/>
      <c r="M10" s="196"/>
      <c r="N10" s="196"/>
      <c r="O10" s="196"/>
      <c r="P10" s="222"/>
    </row>
    <row r="11" spans="1:16" ht="13.5" thickBot="1" x14ac:dyDescent="0.25">
      <c r="A11" s="171"/>
      <c r="B11" s="74" t="s">
        <v>91</v>
      </c>
      <c r="C11" s="65"/>
      <c r="D11" s="148"/>
      <c r="E11" s="24" t="str">
        <f>"Total Fuel (gal)       ="</f>
        <v>Total Fuel (gal)       =</v>
      </c>
      <c r="F11" s="11"/>
      <c r="G11" s="64">
        <v>10</v>
      </c>
      <c r="H11" s="148"/>
      <c r="I11" s="246"/>
      <c r="J11" s="246"/>
      <c r="K11" s="499"/>
      <c r="L11" s="203"/>
      <c r="M11" s="196"/>
      <c r="N11" s="196"/>
      <c r="O11" s="196"/>
      <c r="P11" s="166"/>
    </row>
    <row r="12" spans="1:16" ht="13.5" thickBot="1" x14ac:dyDescent="0.25">
      <c r="A12" s="171"/>
      <c r="B12" s="74" t="s">
        <v>13</v>
      </c>
      <c r="C12" s="62">
        <v>10</v>
      </c>
      <c r="D12" s="148"/>
      <c r="E12" s="15" t="s">
        <v>27</v>
      </c>
      <c r="F12" s="25"/>
      <c r="G12" s="132">
        <v>1</v>
      </c>
      <c r="H12" s="148"/>
      <c r="I12" s="148"/>
      <c r="J12" s="148"/>
      <c r="K12" s="514"/>
      <c r="L12" s="196"/>
      <c r="M12" s="196"/>
      <c r="N12" s="165">
        <v>93</v>
      </c>
      <c r="O12" s="192">
        <f>C19</f>
        <v>1494</v>
      </c>
      <c r="P12" s="166"/>
    </row>
    <row r="13" spans="1:16" x14ac:dyDescent="0.2">
      <c r="A13" s="171"/>
      <c r="B13" s="148"/>
      <c r="C13" s="148"/>
      <c r="D13" s="148"/>
      <c r="E13" s="148"/>
      <c r="F13" s="148"/>
      <c r="G13" s="161"/>
      <c r="H13" s="148"/>
      <c r="I13" s="148"/>
      <c r="J13" s="148"/>
      <c r="K13" s="514"/>
      <c r="L13" s="196"/>
      <c r="M13" s="196"/>
      <c r="N13" s="167">
        <v>83</v>
      </c>
      <c r="O13" s="193">
        <f>C19</f>
        <v>1494</v>
      </c>
      <c r="P13" s="166"/>
    </row>
    <row r="14" spans="1:16" ht="13.5" thickBot="1" x14ac:dyDescent="0.25">
      <c r="A14" s="171"/>
      <c r="B14" s="148"/>
      <c r="C14" s="148"/>
      <c r="D14" s="148"/>
      <c r="E14" s="148"/>
      <c r="F14" s="159"/>
      <c r="G14" s="159"/>
      <c r="H14" s="159"/>
      <c r="I14" s="159"/>
      <c r="J14" s="159"/>
      <c r="K14" s="499"/>
      <c r="L14" s="196"/>
      <c r="M14" s="196"/>
      <c r="N14" s="167">
        <v>83</v>
      </c>
      <c r="O14" s="193">
        <v>1950</v>
      </c>
      <c r="P14" s="166"/>
    </row>
    <row r="15" spans="1:16" ht="13.5" thickBot="1" x14ac:dyDescent="0.25">
      <c r="A15" s="171"/>
      <c r="B15" s="148"/>
      <c r="C15" s="148"/>
      <c r="D15" s="148"/>
      <c r="E15" s="148"/>
      <c r="F15" s="161"/>
      <c r="G15" s="160"/>
      <c r="H15" s="648" t="str">
        <f>IF(B17="8229P","Archer Envelope","Warrior Envelope")</f>
        <v>Warrior Envelope</v>
      </c>
      <c r="I15" s="649"/>
      <c r="J15" s="174"/>
      <c r="K15" s="515"/>
      <c r="L15" s="196"/>
      <c r="M15" s="196"/>
      <c r="N15" s="167">
        <v>88.3</v>
      </c>
      <c r="O15" s="193">
        <v>2440</v>
      </c>
      <c r="P15" s="166"/>
    </row>
    <row r="16" spans="1:16" x14ac:dyDescent="0.2">
      <c r="A16" s="171"/>
      <c r="B16" s="98" t="s">
        <v>2</v>
      </c>
      <c r="C16" s="91" t="s">
        <v>0</v>
      </c>
      <c r="D16" s="91" t="s">
        <v>3</v>
      </c>
      <c r="E16" s="343" t="s">
        <v>1</v>
      </c>
      <c r="F16" s="161"/>
      <c r="G16" s="148"/>
      <c r="H16" s="148"/>
      <c r="I16" s="148"/>
      <c r="J16" s="148"/>
      <c r="K16" s="516"/>
      <c r="L16" s="196"/>
      <c r="M16" s="196"/>
      <c r="N16" s="167">
        <v>93</v>
      </c>
      <c r="O16" s="193">
        <v>2440</v>
      </c>
      <c r="P16" s="166"/>
    </row>
    <row r="17" spans="1:16" x14ac:dyDescent="0.2">
      <c r="A17" s="171"/>
      <c r="B17" s="30" t="str">
        <f>C4</f>
        <v>2553Y</v>
      </c>
      <c r="C17" s="7"/>
      <c r="D17" s="12"/>
      <c r="E17" s="47"/>
      <c r="F17" s="161"/>
      <c r="G17" s="148"/>
      <c r="H17" s="148"/>
      <c r="I17" s="148"/>
      <c r="J17" s="148"/>
      <c r="K17" s="514"/>
      <c r="L17" s="196"/>
      <c r="M17" s="196"/>
      <c r="N17" s="167">
        <v>93</v>
      </c>
      <c r="O17" s="193">
        <f>C19</f>
        <v>1494</v>
      </c>
      <c r="P17" s="166"/>
    </row>
    <row r="18" spans="1:16" x14ac:dyDescent="0.2">
      <c r="A18" s="171"/>
      <c r="B18" s="1"/>
      <c r="C18" s="9"/>
      <c r="D18" s="247"/>
      <c r="E18" s="254"/>
      <c r="F18" s="161"/>
      <c r="G18" s="148"/>
      <c r="H18" s="148"/>
      <c r="I18" s="148"/>
      <c r="J18" s="148"/>
      <c r="K18" s="514"/>
      <c r="L18" s="196"/>
      <c r="M18" s="196"/>
      <c r="N18" s="167"/>
      <c r="O18" s="193"/>
      <c r="P18" s="166"/>
    </row>
    <row r="19" spans="1:16" x14ac:dyDescent="0.2">
      <c r="A19" s="171"/>
      <c r="B19" s="1" t="s">
        <v>31</v>
      </c>
      <c r="C19" s="37">
        <f>IF(B17=I5,K5,IF(B17=I6,K6,IF(B17=I7,K7," ")))</f>
        <v>1494</v>
      </c>
      <c r="D19" s="18">
        <f>IF(C19=0,0,(E19/C19))</f>
        <v>85.246854082998667</v>
      </c>
      <c r="E19" s="45">
        <f>IF(B17=I5,L5,IF(B17=I6,L6,IF(B17=I7,L7," ")))</f>
        <v>127358.8</v>
      </c>
      <c r="F19" s="148"/>
      <c r="G19" s="148"/>
      <c r="H19" s="148"/>
      <c r="I19" s="148"/>
      <c r="J19" s="148"/>
      <c r="K19" s="514"/>
      <c r="L19" s="196"/>
      <c r="M19" s="196"/>
      <c r="N19" s="165">
        <v>93</v>
      </c>
      <c r="O19" s="192">
        <f>C19</f>
        <v>1494</v>
      </c>
      <c r="P19" s="166"/>
    </row>
    <row r="20" spans="1:16" x14ac:dyDescent="0.2">
      <c r="A20" s="171"/>
      <c r="B20" s="73" t="s">
        <v>81</v>
      </c>
      <c r="C20" s="20">
        <f>IF(B17="",0,C8+C9)</f>
        <v>385</v>
      </c>
      <c r="D20" s="18">
        <v>80.5</v>
      </c>
      <c r="E20" s="48">
        <f>IF(C20=0,0,C20*D20)</f>
        <v>30992.5</v>
      </c>
      <c r="F20" s="148"/>
      <c r="G20" s="148"/>
      <c r="H20" s="150"/>
      <c r="I20" s="150"/>
      <c r="J20" s="150"/>
      <c r="K20" s="517"/>
      <c r="L20" s="196"/>
      <c r="M20" s="196"/>
      <c r="N20" s="165">
        <v>83</v>
      </c>
      <c r="O20" s="192">
        <f>C19</f>
        <v>1494</v>
      </c>
      <c r="P20" s="166"/>
    </row>
    <row r="21" spans="1:16" x14ac:dyDescent="0.2">
      <c r="A21" s="171"/>
      <c r="B21" s="73" t="s">
        <v>82</v>
      </c>
      <c r="C21" s="20">
        <f>IF(B17="",0,C10+C11)</f>
        <v>240</v>
      </c>
      <c r="D21" s="18">
        <v>118.1</v>
      </c>
      <c r="E21" s="48">
        <f>IF(C21=0,0,C21*D21)</f>
        <v>28344</v>
      </c>
      <c r="F21" s="148"/>
      <c r="G21" s="148"/>
      <c r="H21" s="148"/>
      <c r="I21" s="148"/>
      <c r="J21" s="148"/>
      <c r="K21" s="514"/>
      <c r="L21" s="196"/>
      <c r="M21" s="196"/>
      <c r="N21" s="165">
        <v>83</v>
      </c>
      <c r="O21" s="192">
        <v>1950</v>
      </c>
      <c r="P21" s="166"/>
    </row>
    <row r="22" spans="1:16" x14ac:dyDescent="0.2">
      <c r="A22" s="171"/>
      <c r="B22" s="10" t="s">
        <v>13</v>
      </c>
      <c r="C22" s="20">
        <f>IF(B17="",0,C12)</f>
        <v>10</v>
      </c>
      <c r="D22" s="18">
        <v>142.80000000000001</v>
      </c>
      <c r="E22" s="48">
        <f>IF(C22=0,0,C22*D22)</f>
        <v>1428</v>
      </c>
      <c r="F22" s="148"/>
      <c r="G22" s="148"/>
      <c r="H22" s="161"/>
      <c r="I22" s="161"/>
      <c r="J22" s="161"/>
      <c r="K22" s="516"/>
      <c r="L22" s="196"/>
      <c r="M22" s="196"/>
      <c r="N22" s="165">
        <v>83.8</v>
      </c>
      <c r="O22" s="192">
        <v>2020</v>
      </c>
      <c r="P22" s="166"/>
    </row>
    <row r="23" spans="1:16" x14ac:dyDescent="0.2">
      <c r="A23" s="171"/>
      <c r="B23" s="93" t="s">
        <v>16</v>
      </c>
      <c r="C23" s="94">
        <f>IF(B17=0,0,SUM(C19:C22))</f>
        <v>2129</v>
      </c>
      <c r="D23" s="94">
        <f>E23/C23</f>
        <v>88.36228276186003</v>
      </c>
      <c r="E23" s="102">
        <f>IF(B17="",0,SUM(E19:E22))</f>
        <v>188123.3</v>
      </c>
      <c r="F23" s="148"/>
      <c r="G23" s="148"/>
      <c r="H23" s="148"/>
      <c r="I23" s="159"/>
      <c r="J23" s="159"/>
      <c r="K23" s="499"/>
      <c r="L23" s="196"/>
      <c r="M23" s="196"/>
      <c r="N23" s="165">
        <v>93</v>
      </c>
      <c r="O23" s="192">
        <v>2020</v>
      </c>
      <c r="P23" s="166"/>
    </row>
    <row r="24" spans="1:16" x14ac:dyDescent="0.2">
      <c r="A24" s="171"/>
      <c r="B24" s="1" t="s">
        <v>32</v>
      </c>
      <c r="C24" s="19">
        <f>IF(C19=0,0,IF(G8="",G5*6,G8*6))</f>
        <v>288</v>
      </c>
      <c r="D24" s="19">
        <f>IF(B17="",0,95)</f>
        <v>95</v>
      </c>
      <c r="E24" s="48">
        <f>IF(C24=0,0,C24*D24)</f>
        <v>27360</v>
      </c>
      <c r="F24" s="148"/>
      <c r="G24" s="162"/>
      <c r="H24" s="162"/>
      <c r="I24" s="162"/>
      <c r="J24" s="162"/>
      <c r="K24" s="158"/>
      <c r="L24" s="196"/>
      <c r="M24" s="196"/>
      <c r="N24" s="165">
        <v>93</v>
      </c>
      <c r="O24" s="192">
        <f>C19</f>
        <v>1494</v>
      </c>
      <c r="P24" s="166"/>
    </row>
    <row r="25" spans="1:16" x14ac:dyDescent="0.2">
      <c r="A25" s="171"/>
      <c r="B25" s="1"/>
      <c r="C25" s="49"/>
      <c r="D25" s="49"/>
      <c r="E25" s="41"/>
      <c r="F25" s="148"/>
      <c r="G25" s="177"/>
      <c r="H25" s="178"/>
      <c r="I25" s="190"/>
      <c r="J25" s="190"/>
      <c r="K25" s="518"/>
      <c r="L25" s="196"/>
      <c r="M25" s="196"/>
      <c r="N25" s="165"/>
      <c r="O25" s="192"/>
      <c r="P25" s="166"/>
    </row>
    <row r="26" spans="1:16" x14ac:dyDescent="0.2">
      <c r="A26" s="171"/>
      <c r="B26" s="10" t="s">
        <v>28</v>
      </c>
      <c r="C26" s="131">
        <f>IF(B17="",0,G12*6)*-1</f>
        <v>-6</v>
      </c>
      <c r="D26" s="19">
        <f>IF(B17="",0,95)</f>
        <v>95</v>
      </c>
      <c r="E26" s="48">
        <f>IF(C26=0,0,C26*D26)</f>
        <v>-570</v>
      </c>
      <c r="F26" s="148"/>
      <c r="G26" s="177"/>
      <c r="H26" s="178"/>
      <c r="I26" s="190"/>
      <c r="J26" s="190"/>
      <c r="K26" s="518"/>
      <c r="L26" s="196"/>
      <c r="M26" s="196" t="s">
        <v>111</v>
      </c>
      <c r="N26" s="167">
        <f>D27</f>
        <v>89.138656159270013</v>
      </c>
      <c r="O26" s="193">
        <f>C27</f>
        <v>2411</v>
      </c>
      <c r="P26" s="166"/>
    </row>
    <row r="27" spans="1:16" x14ac:dyDescent="0.2">
      <c r="A27" s="171"/>
      <c r="B27" s="93" t="s">
        <v>4</v>
      </c>
      <c r="C27" s="94">
        <f>IF(B17="",0,SUM(C23:C26))</f>
        <v>2411</v>
      </c>
      <c r="D27" s="94">
        <f>IF(C27=0,0,E27/C27)</f>
        <v>89.138656159270013</v>
      </c>
      <c r="E27" s="102">
        <f>IF(B17="","",E23+E24+E26)</f>
        <v>214913.3</v>
      </c>
      <c r="F27" s="148"/>
      <c r="G27" s="177"/>
      <c r="H27" s="178"/>
      <c r="I27" s="190"/>
      <c r="J27" s="190"/>
      <c r="K27" s="518"/>
      <c r="L27" s="196"/>
      <c r="M27" s="196" t="s">
        <v>110</v>
      </c>
      <c r="N27" s="167">
        <f>D30</f>
        <v>88.989068481497227</v>
      </c>
      <c r="O27" s="193">
        <f>C30</f>
        <v>2351</v>
      </c>
      <c r="P27" s="166"/>
    </row>
    <row r="28" spans="1:16" x14ac:dyDescent="0.2">
      <c r="A28" s="171"/>
      <c r="B28" s="1"/>
      <c r="C28" s="19"/>
      <c r="D28" s="19"/>
      <c r="E28" s="342"/>
      <c r="F28" s="148"/>
      <c r="G28" s="177"/>
      <c r="H28" s="178"/>
      <c r="I28" s="190"/>
      <c r="J28" s="190"/>
      <c r="K28" s="518"/>
      <c r="L28" s="196"/>
      <c r="M28" s="196" t="s">
        <v>109</v>
      </c>
      <c r="N28" s="165">
        <f>D23</f>
        <v>88.36228276186003</v>
      </c>
      <c r="O28" s="193">
        <f>C23</f>
        <v>2129</v>
      </c>
      <c r="P28" s="166"/>
    </row>
    <row r="29" spans="1:16" x14ac:dyDescent="0.2">
      <c r="A29" s="171"/>
      <c r="B29" s="10" t="s">
        <v>14</v>
      </c>
      <c r="C29" s="19">
        <f>IF(B17="",0,(G11*6))*-1</f>
        <v>-60</v>
      </c>
      <c r="D29" s="19">
        <f>IF(B17="",0,95)</f>
        <v>95</v>
      </c>
      <c r="E29" s="48">
        <f>IF(C29=0,0,C29*D29)</f>
        <v>-5700</v>
      </c>
      <c r="F29" s="148"/>
      <c r="G29" s="177"/>
      <c r="H29" s="178"/>
      <c r="I29" s="179"/>
      <c r="J29" s="179"/>
      <c r="K29" s="518"/>
      <c r="L29" s="196"/>
      <c r="M29" s="196"/>
      <c r="N29" s="165"/>
      <c r="O29" s="193"/>
      <c r="P29" s="166"/>
    </row>
    <row r="30" spans="1:16" ht="13.5" thickBot="1" x14ac:dyDescent="0.25">
      <c r="A30" s="171"/>
      <c r="B30" s="93" t="s">
        <v>5</v>
      </c>
      <c r="C30" s="94">
        <f>IF(B17="",0,C27+C29)</f>
        <v>2351</v>
      </c>
      <c r="D30" s="94">
        <f>IF(C30=0,0,E30/C30)</f>
        <v>88.989068481497227</v>
      </c>
      <c r="E30" s="102">
        <f>IF(B17="",0,E27+E29)</f>
        <v>209213.3</v>
      </c>
      <c r="F30" s="148"/>
      <c r="G30" s="177"/>
      <c r="H30" s="178"/>
      <c r="I30" s="179"/>
      <c r="J30" s="179"/>
      <c r="K30" s="518"/>
      <c r="L30" s="196"/>
      <c r="M30" s="196"/>
      <c r="N30" s="165">
        <f>D19</f>
        <v>85.246854082998667</v>
      </c>
      <c r="O30" s="193">
        <f>C19</f>
        <v>1494</v>
      </c>
      <c r="P30" s="166"/>
    </row>
    <row r="31" spans="1:16" x14ac:dyDescent="0.2">
      <c r="A31" s="171"/>
      <c r="B31" s="249" t="s">
        <v>72</v>
      </c>
      <c r="C31" s="496">
        <f>O16-O12</f>
        <v>946</v>
      </c>
      <c r="D31" s="266"/>
      <c r="E31" s="261"/>
      <c r="F31" s="148"/>
      <c r="G31" s="177"/>
      <c r="H31" s="178"/>
      <c r="I31" s="179"/>
      <c r="J31" s="179"/>
      <c r="K31" s="518"/>
      <c r="L31" s="196"/>
      <c r="M31" s="196"/>
      <c r="N31" s="168"/>
      <c r="O31" s="168"/>
      <c r="P31" s="166"/>
    </row>
    <row r="32" spans="1:16" ht="13.5" thickBot="1" x14ac:dyDescent="0.25">
      <c r="A32" s="171"/>
      <c r="B32" s="273" t="s">
        <v>106</v>
      </c>
      <c r="C32" s="267">
        <f>IF(B17="","",C31-C24)</f>
        <v>658</v>
      </c>
      <c r="D32" s="259"/>
      <c r="E32" s="276"/>
      <c r="F32" s="148"/>
      <c r="G32" s="151"/>
      <c r="H32" s="172"/>
      <c r="I32" s="308" t="s">
        <v>79</v>
      </c>
      <c r="J32" s="180"/>
      <c r="K32" s="518"/>
      <c r="L32" s="196"/>
      <c r="M32" s="196"/>
      <c r="N32" s="344"/>
      <c r="O32" s="168"/>
      <c r="P32" s="166"/>
    </row>
    <row r="33" spans="1:16" ht="13.5" thickBot="1" x14ac:dyDescent="0.25">
      <c r="A33" s="171"/>
      <c r="B33" s="258" t="s">
        <v>73</v>
      </c>
      <c r="C33" s="270">
        <f>IF(C31="","",C32-(C20+C21+C22))</f>
        <v>23</v>
      </c>
      <c r="D33" s="632" t="str">
        <f>IF(C33&lt;0,"&lt;&lt;&lt;&lt;&lt;&lt;  Over Loaded! ","")</f>
        <v/>
      </c>
      <c r="E33" s="633"/>
      <c r="F33" s="136"/>
      <c r="G33" s="153"/>
      <c r="H33" s="153"/>
      <c r="I33" s="296">
        <v>25</v>
      </c>
      <c r="J33" s="153"/>
      <c r="K33" s="503"/>
      <c r="L33" s="168"/>
      <c r="M33" s="168"/>
      <c r="N33" s="193">
        <f>N26</f>
        <v>89.138656159270013</v>
      </c>
      <c r="O33" s="193">
        <f>O26</f>
        <v>2411</v>
      </c>
      <c r="P33" s="166"/>
    </row>
    <row r="34" spans="1:16" x14ac:dyDescent="0.2">
      <c r="A34" s="171"/>
      <c r="B34" s="135"/>
      <c r="C34" s="135"/>
      <c r="D34" s="135"/>
      <c r="E34" s="135"/>
      <c r="F34" s="136"/>
      <c r="G34" s="324" t="s">
        <v>71</v>
      </c>
      <c r="H34" s="141">
        <v>210</v>
      </c>
      <c r="I34" s="295" t="s">
        <v>74</v>
      </c>
      <c r="J34" s="141"/>
      <c r="K34" s="519"/>
      <c r="L34" s="523"/>
      <c r="M34" s="331"/>
      <c r="N34" s="193"/>
      <c r="O34" s="193"/>
      <c r="P34" s="166"/>
    </row>
    <row r="35" spans="1:16" x14ac:dyDescent="0.2">
      <c r="A35" s="171"/>
      <c r="B35" s="567" t="s">
        <v>126</v>
      </c>
      <c r="C35" s="568">
        <v>111</v>
      </c>
      <c r="D35" s="242"/>
      <c r="E35" s="242"/>
      <c r="F35" s="242"/>
      <c r="G35" s="324" t="s">
        <v>70</v>
      </c>
      <c r="H35" s="141">
        <v>10</v>
      </c>
      <c r="I35" s="295" t="s">
        <v>76</v>
      </c>
      <c r="J35" s="141">
        <v>15</v>
      </c>
      <c r="K35" s="520"/>
      <c r="L35" s="521"/>
      <c r="M35" s="331"/>
      <c r="N35" s="331"/>
      <c r="O35" s="196"/>
      <c r="P35" s="222"/>
    </row>
    <row r="36" spans="1:16" x14ac:dyDescent="0.2">
      <c r="A36" s="171"/>
      <c r="B36" s="567" t="s">
        <v>128</v>
      </c>
      <c r="C36" s="569">
        <f>C35*(SQRT(C27/O15))</f>
        <v>110.33839714825434</v>
      </c>
      <c r="D36" s="242"/>
      <c r="E36" s="242"/>
      <c r="F36" s="242"/>
      <c r="G36" s="135"/>
      <c r="H36" s="153"/>
      <c r="I36" s="153"/>
      <c r="J36" s="153"/>
      <c r="K36" s="153"/>
      <c r="L36" s="527"/>
      <c r="M36" s="331"/>
      <c r="N36" s="193">
        <v>288</v>
      </c>
      <c r="O36" s="196"/>
      <c r="P36" s="147"/>
    </row>
    <row r="37" spans="1:16" x14ac:dyDescent="0.2">
      <c r="A37" s="171"/>
      <c r="B37" s="567" t="s">
        <v>127</v>
      </c>
      <c r="C37" s="569">
        <f>C35*(SQRT(C30/O15))</f>
        <v>108.95681013782405</v>
      </c>
      <c r="D37" s="139"/>
      <c r="E37" s="142"/>
      <c r="F37" s="139"/>
      <c r="G37" s="613" t="s">
        <v>78</v>
      </c>
      <c r="H37" s="614"/>
      <c r="I37" s="194">
        <f>IF(H35="","",H35*ABS(SIN(RADIANS(H34-(I33*10)))))</f>
        <v>6.4278760968653925</v>
      </c>
      <c r="J37" s="137" t="s">
        <v>75</v>
      </c>
      <c r="K37" s="194">
        <f>IF(J35="","",J35*ABS(SIN(RADIANS(H34-(I33*10)))))</f>
        <v>9.6418141452980883</v>
      </c>
      <c r="L37" s="529"/>
      <c r="M37" s="331"/>
      <c r="N37" s="220">
        <v>95</v>
      </c>
      <c r="O37" s="196"/>
      <c r="P37" s="146"/>
    </row>
    <row r="38" spans="1:16" x14ac:dyDescent="0.2">
      <c r="A38" s="171"/>
      <c r="B38" s="143"/>
      <c r="C38" s="144"/>
      <c r="D38" s="138"/>
      <c r="E38" s="139"/>
      <c r="F38" s="143"/>
      <c r="G38" s="613" t="s">
        <v>77</v>
      </c>
      <c r="H38" s="614"/>
      <c r="I38" s="194" t="str">
        <f>IF(J34="","",H35*ABS(SIN(RADIANS(H34-(I33*10)))))</f>
        <v/>
      </c>
      <c r="J38" s="195" t="s">
        <v>75</v>
      </c>
      <c r="K38" s="194" t="str">
        <f>IF(J34="","",IF(J35="",H35*ABS(SIN(RADIANS(J34-(I33*10)))),J35*ABS(SIN(RADIANS(J34-(I33*10))))))</f>
        <v/>
      </c>
      <c r="L38" s="530"/>
      <c r="M38" s="331"/>
      <c r="N38" s="220">
        <f>N36*N37</f>
        <v>27360</v>
      </c>
      <c r="O38" s="196"/>
      <c r="P38" s="146"/>
    </row>
    <row r="39" spans="1:16" ht="13.5" thickBot="1" x14ac:dyDescent="0.25">
      <c r="A39" s="181"/>
      <c r="B39" s="182"/>
      <c r="C39" s="183"/>
      <c r="D39" s="183"/>
      <c r="E39" s="183"/>
      <c r="F39" s="184"/>
      <c r="G39" s="185"/>
      <c r="H39" s="185"/>
      <c r="I39" s="185"/>
      <c r="J39" s="185"/>
      <c r="K39" s="185"/>
      <c r="L39" s="185"/>
      <c r="M39" s="185"/>
      <c r="N39" s="184"/>
      <c r="O39" s="184"/>
      <c r="P39" s="188"/>
    </row>
  </sheetData>
  <mergeCells count="10">
    <mergeCell ref="B2:O2"/>
    <mergeCell ref="E4:G4"/>
    <mergeCell ref="I4:L4"/>
    <mergeCell ref="E7:G7"/>
    <mergeCell ref="E8:F8"/>
    <mergeCell ref="H15:I15"/>
    <mergeCell ref="D33:E33"/>
    <mergeCell ref="G37:H37"/>
    <mergeCell ref="G38:H38"/>
    <mergeCell ref="E10:G10"/>
  </mergeCells>
  <dataValidations count="1">
    <dataValidation type="list" allowBlank="1" showInputMessage="1" showErrorMessage="1" sqref="C4" xr:uid="{00000000-0002-0000-0500-000000000000}">
      <formula1>$I$5:$I$10</formula1>
    </dataValidation>
  </dataValidations>
  <pageMargins left="0.7" right="0.7" top="0.75" bottom="0.75" header="0.3" footer="0.3"/>
  <pageSetup scale="84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3366FF"/>
    <pageSetUpPr fitToPage="1"/>
  </sheetPr>
  <dimension ref="A1:P39"/>
  <sheetViews>
    <sheetView zoomScale="90" zoomScaleNormal="90" workbookViewId="0">
      <selection activeCell="G33" sqref="G33"/>
    </sheetView>
  </sheetViews>
  <sheetFormatPr defaultRowHeight="12.75" x14ac:dyDescent="0.2"/>
  <cols>
    <col min="1" max="1" width="2.7109375" customWidth="1"/>
    <col min="2" max="2" width="21.5703125" customWidth="1"/>
    <col min="3" max="4" width="9.28515625" customWidth="1"/>
    <col min="5" max="5" width="10.140625" customWidth="1"/>
    <col min="7" max="7" width="14.85546875" customWidth="1"/>
    <col min="9" max="9" width="10.42578125" customWidth="1"/>
    <col min="10" max="10" width="10" customWidth="1"/>
    <col min="11" max="11" width="10.42578125" customWidth="1"/>
    <col min="12" max="12" width="10.5703125" customWidth="1"/>
    <col min="13" max="13" width="2.7109375" customWidth="1"/>
    <col min="14" max="14" width="9.85546875" customWidth="1"/>
    <col min="15" max="15" width="7.7109375" customWidth="1"/>
    <col min="16" max="16" width="2.7109375" customWidth="1"/>
  </cols>
  <sheetData>
    <row r="1" spans="1:16" ht="13.5" thickBot="1" x14ac:dyDescent="0.25">
      <c r="A1" s="206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9"/>
    </row>
    <row r="2" spans="1:16" ht="13.5" thickBot="1" x14ac:dyDescent="0.25">
      <c r="A2" s="204"/>
      <c r="B2" s="619" t="s">
        <v>42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1"/>
      <c r="P2" s="166"/>
    </row>
    <row r="3" spans="1:16" ht="13.5" thickBot="1" x14ac:dyDescent="0.25">
      <c r="A3" s="204"/>
      <c r="B3" s="196"/>
      <c r="C3" s="196"/>
      <c r="D3" s="196"/>
      <c r="E3" s="196"/>
      <c r="F3" s="201"/>
      <c r="G3" s="196"/>
      <c r="H3" s="196"/>
      <c r="I3" s="205"/>
      <c r="J3" s="205"/>
      <c r="K3" s="205"/>
      <c r="L3" s="196"/>
      <c r="M3" s="196"/>
      <c r="N3" s="196"/>
      <c r="O3" s="196"/>
      <c r="P3" s="166"/>
    </row>
    <row r="4" spans="1:16" ht="13.5" thickBot="1" x14ac:dyDescent="0.25">
      <c r="A4" s="204"/>
      <c r="B4" s="4" t="s">
        <v>33</v>
      </c>
      <c r="C4" s="387" t="s">
        <v>142</v>
      </c>
      <c r="D4" s="196"/>
      <c r="E4" s="648" t="s">
        <v>45</v>
      </c>
      <c r="F4" s="650"/>
      <c r="G4" s="649"/>
      <c r="H4" s="196"/>
      <c r="I4" s="648" t="s">
        <v>19</v>
      </c>
      <c r="J4" s="650"/>
      <c r="K4" s="650"/>
      <c r="L4" s="649"/>
      <c r="M4" s="196"/>
      <c r="N4" s="196"/>
      <c r="O4" s="202"/>
      <c r="P4" s="166"/>
    </row>
    <row r="5" spans="1:16" ht="13.5" thickBot="1" x14ac:dyDescent="0.25">
      <c r="A5" s="204"/>
      <c r="B5" s="196"/>
      <c r="C5" s="196"/>
      <c r="D5" s="196"/>
      <c r="E5" s="4" t="s">
        <v>30</v>
      </c>
      <c r="F5" s="14"/>
      <c r="G5" s="63">
        <v>48</v>
      </c>
      <c r="H5" s="196"/>
      <c r="I5" s="320" t="s">
        <v>142</v>
      </c>
      <c r="J5" s="314">
        <v>87.24</v>
      </c>
      <c r="K5" s="314">
        <v>1598.07</v>
      </c>
      <c r="L5" s="564">
        <v>139612.68</v>
      </c>
      <c r="M5" s="196"/>
      <c r="N5" s="196"/>
      <c r="O5" s="202"/>
      <c r="P5" s="166"/>
    </row>
    <row r="6" spans="1:16" ht="13.5" thickBot="1" x14ac:dyDescent="0.25">
      <c r="A6" s="204"/>
      <c r="B6" s="196"/>
      <c r="C6" s="196"/>
      <c r="D6" s="196"/>
      <c r="E6" s="196"/>
      <c r="F6" s="201"/>
      <c r="G6" s="201"/>
      <c r="H6" s="196"/>
      <c r="I6" s="322" t="s">
        <v>6</v>
      </c>
      <c r="J6" s="314">
        <v>86.38</v>
      </c>
      <c r="K6" s="311">
        <v>1509.96</v>
      </c>
      <c r="L6" s="563">
        <v>130431.97</v>
      </c>
      <c r="M6" s="196"/>
      <c r="N6" s="196"/>
      <c r="O6" s="196"/>
      <c r="P6" s="166"/>
    </row>
    <row r="7" spans="1:16" ht="13.5" thickBot="1" x14ac:dyDescent="0.25">
      <c r="A7" s="204"/>
      <c r="B7" s="196"/>
      <c r="C7" s="196"/>
      <c r="D7" s="196"/>
      <c r="E7" s="625" t="s">
        <v>40</v>
      </c>
      <c r="F7" s="626"/>
      <c r="G7" s="627"/>
      <c r="H7" s="196"/>
      <c r="I7" s="77" t="s">
        <v>96</v>
      </c>
      <c r="J7" s="311">
        <v>87.19</v>
      </c>
      <c r="K7" s="311">
        <v>1563</v>
      </c>
      <c r="L7" s="561">
        <v>136282.20000000001</v>
      </c>
      <c r="M7" s="196"/>
      <c r="N7" s="196"/>
      <c r="O7" s="196"/>
      <c r="P7" s="166"/>
    </row>
    <row r="8" spans="1:16" ht="13.5" thickBot="1" x14ac:dyDescent="0.25">
      <c r="A8" s="204"/>
      <c r="B8" s="116" t="s">
        <v>87</v>
      </c>
      <c r="C8" s="110">
        <v>200</v>
      </c>
      <c r="D8" s="196"/>
      <c r="E8" s="628" t="str">
        <f>"Total Fuel (gal)    ="</f>
        <v>Total Fuel (gal)    =</v>
      </c>
      <c r="F8" s="629"/>
      <c r="G8" s="498"/>
      <c r="H8" s="196"/>
      <c r="I8" s="323"/>
      <c r="J8" s="312" t="str">
        <f t="shared" ref="J8" si="0">IF(I8="","",L8/K8)</f>
        <v/>
      </c>
      <c r="K8" s="565"/>
      <c r="L8" s="566"/>
      <c r="M8" s="196"/>
      <c r="N8" s="196"/>
      <c r="O8" s="196"/>
      <c r="P8" s="166"/>
    </row>
    <row r="9" spans="1:16" ht="13.5" thickBot="1" x14ac:dyDescent="0.25">
      <c r="A9" s="204"/>
      <c r="B9" s="116" t="s">
        <v>89</v>
      </c>
      <c r="C9" s="65">
        <v>185</v>
      </c>
      <c r="D9" s="196"/>
      <c r="E9" s="196"/>
      <c r="F9" s="196"/>
      <c r="G9" s="196"/>
      <c r="H9" s="196"/>
      <c r="I9" s="197"/>
      <c r="J9" s="197"/>
      <c r="K9" s="213"/>
      <c r="L9" s="214"/>
      <c r="M9" s="196"/>
      <c r="N9" s="196"/>
      <c r="O9" s="196"/>
      <c r="P9" s="166"/>
    </row>
    <row r="10" spans="1:16" ht="13.5" thickBot="1" x14ac:dyDescent="0.25">
      <c r="A10" s="204"/>
      <c r="B10" s="74" t="s">
        <v>90</v>
      </c>
      <c r="C10" s="65">
        <v>10</v>
      </c>
      <c r="D10" s="196"/>
      <c r="E10" s="616" t="s">
        <v>22</v>
      </c>
      <c r="F10" s="617"/>
      <c r="G10" s="618"/>
      <c r="H10" s="196"/>
      <c r="I10" s="197"/>
      <c r="J10" s="197"/>
      <c r="K10" s="213"/>
      <c r="L10" s="214"/>
      <c r="M10" s="196"/>
      <c r="N10" s="196"/>
      <c r="O10" s="196"/>
      <c r="P10" s="166"/>
    </row>
    <row r="11" spans="1:16" ht="13.5" thickBot="1" x14ac:dyDescent="0.25">
      <c r="A11" s="204"/>
      <c r="B11" s="74" t="s">
        <v>91</v>
      </c>
      <c r="C11" s="65">
        <v>0</v>
      </c>
      <c r="D11" s="196"/>
      <c r="E11" s="24" t="str">
        <f>"Total Fuel (gal)       ="</f>
        <v>Total Fuel (gal)       =</v>
      </c>
      <c r="F11" s="11"/>
      <c r="G11" s="64">
        <v>10</v>
      </c>
      <c r="H11" s="196"/>
      <c r="I11" s="630"/>
      <c r="J11" s="630"/>
      <c r="K11" s="630"/>
      <c r="L11" s="630"/>
      <c r="M11" s="196"/>
      <c r="N11" s="193">
        <v>93</v>
      </c>
      <c r="O11" s="193">
        <f>C19</f>
        <v>1598.07</v>
      </c>
      <c r="P11" s="166"/>
    </row>
    <row r="12" spans="1:16" ht="13.5" thickBot="1" x14ac:dyDescent="0.25">
      <c r="A12" s="204"/>
      <c r="B12" s="74" t="s">
        <v>13</v>
      </c>
      <c r="C12" s="62">
        <v>10</v>
      </c>
      <c r="D12" s="196"/>
      <c r="E12" s="15" t="s">
        <v>27</v>
      </c>
      <c r="F12" s="25"/>
      <c r="G12" s="66">
        <v>1</v>
      </c>
      <c r="H12" s="196"/>
      <c r="I12" s="196"/>
      <c r="J12" s="196"/>
      <c r="K12" s="196"/>
      <c r="L12" s="196"/>
      <c r="M12" s="196"/>
      <c r="N12" s="193">
        <v>82</v>
      </c>
      <c r="O12" s="193">
        <f>C19</f>
        <v>1598.07</v>
      </c>
      <c r="P12" s="166"/>
    </row>
    <row r="13" spans="1:16" x14ac:dyDescent="0.2">
      <c r="A13" s="204"/>
      <c r="B13" s="196"/>
      <c r="C13" s="196"/>
      <c r="D13" s="196"/>
      <c r="E13" s="196"/>
      <c r="F13" s="196"/>
      <c r="G13" s="201"/>
      <c r="H13" s="196"/>
      <c r="I13" s="196"/>
      <c r="J13" s="196"/>
      <c r="K13" s="196"/>
      <c r="L13" s="196"/>
      <c r="M13" s="196"/>
      <c r="N13" s="193">
        <v>82</v>
      </c>
      <c r="O13" s="193">
        <v>2050</v>
      </c>
      <c r="P13" s="166"/>
    </row>
    <row r="14" spans="1:16" ht="13.5" thickBot="1" x14ac:dyDescent="0.25">
      <c r="A14" s="204"/>
      <c r="B14" s="196"/>
      <c r="C14" s="196"/>
      <c r="D14" s="196"/>
      <c r="E14" s="196"/>
      <c r="F14" s="203"/>
      <c r="G14" s="203"/>
      <c r="H14" s="203"/>
      <c r="I14" s="203"/>
      <c r="J14" s="203"/>
      <c r="K14" s="203"/>
      <c r="L14" s="196"/>
      <c r="M14" s="196"/>
      <c r="N14" s="193">
        <v>88.5</v>
      </c>
      <c r="O14" s="193">
        <v>2550</v>
      </c>
      <c r="P14" s="166"/>
    </row>
    <row r="15" spans="1:16" ht="13.5" thickBot="1" x14ac:dyDescent="0.25">
      <c r="A15" s="204"/>
      <c r="B15" s="196"/>
      <c r="C15" s="196"/>
      <c r="D15" s="196"/>
      <c r="E15" s="196"/>
      <c r="F15" s="201"/>
      <c r="G15" s="358"/>
      <c r="H15" s="648" t="s">
        <v>97</v>
      </c>
      <c r="I15" s="649"/>
      <c r="J15" s="358"/>
      <c r="K15" s="358"/>
      <c r="L15" s="196"/>
      <c r="M15" s="196"/>
      <c r="N15" s="193">
        <v>93</v>
      </c>
      <c r="O15" s="193">
        <v>2550</v>
      </c>
      <c r="P15" s="166"/>
    </row>
    <row r="16" spans="1:16" x14ac:dyDescent="0.2">
      <c r="A16" s="204"/>
      <c r="B16" s="90" t="s">
        <v>2</v>
      </c>
      <c r="C16" s="91" t="s">
        <v>0</v>
      </c>
      <c r="D16" s="91" t="s">
        <v>3</v>
      </c>
      <c r="E16" s="92" t="s">
        <v>1</v>
      </c>
      <c r="F16" s="161"/>
      <c r="G16" s="148"/>
      <c r="H16" s="148"/>
      <c r="I16" s="148"/>
      <c r="J16" s="148"/>
      <c r="K16" s="201"/>
      <c r="L16" s="196"/>
      <c r="M16" s="196"/>
      <c r="N16" s="193">
        <v>93</v>
      </c>
      <c r="O16" s="193">
        <f>C19</f>
        <v>1598.07</v>
      </c>
      <c r="P16" s="166"/>
    </row>
    <row r="17" spans="1:16" x14ac:dyDescent="0.2">
      <c r="A17" s="204"/>
      <c r="B17" s="30" t="str">
        <f>C4</f>
        <v>2565M</v>
      </c>
      <c r="C17" s="7"/>
      <c r="D17" s="12"/>
      <c r="E17" s="47"/>
      <c r="F17" s="161"/>
      <c r="G17" s="148"/>
      <c r="H17" s="148"/>
      <c r="I17" s="148"/>
      <c r="J17" s="148"/>
      <c r="K17" s="196"/>
      <c r="L17" s="196"/>
      <c r="M17" s="196"/>
      <c r="N17" s="193"/>
      <c r="O17" s="193"/>
      <c r="P17" s="166"/>
    </row>
    <row r="18" spans="1:16" x14ac:dyDescent="0.2">
      <c r="A18" s="204"/>
      <c r="B18" s="1"/>
      <c r="C18" s="9"/>
      <c r="D18" s="247"/>
      <c r="E18" s="254"/>
      <c r="F18" s="161"/>
      <c r="G18" s="148"/>
      <c r="H18" s="148"/>
      <c r="I18" s="148"/>
      <c r="J18" s="148"/>
      <c r="K18" s="196"/>
      <c r="L18" s="196"/>
      <c r="M18" s="196"/>
      <c r="N18" s="193">
        <v>93</v>
      </c>
      <c r="O18" s="193">
        <f>C19</f>
        <v>1598.07</v>
      </c>
      <c r="P18" s="166"/>
    </row>
    <row r="19" spans="1:16" x14ac:dyDescent="0.2">
      <c r="A19" s="204"/>
      <c r="B19" s="1" t="s">
        <v>31</v>
      </c>
      <c r="C19" s="37">
        <f>IF(B17=I5,K5,IF(B17=I6,K6,IF(B17=I7,K7,IF(B17=I8,K8," "))))</f>
        <v>1598.07</v>
      </c>
      <c r="D19" s="18">
        <f>IF(C19=0,0,(E19/C19))</f>
        <v>87.363306989055545</v>
      </c>
      <c r="E19" s="45">
        <f>IF(C4=I5,L5,IF(C4=I6,L6,IF(C4=I7,L7," ")))</f>
        <v>139612.68</v>
      </c>
      <c r="F19" s="148"/>
      <c r="G19" s="148"/>
      <c r="H19" s="148"/>
      <c r="I19" s="148"/>
      <c r="J19" s="148"/>
      <c r="K19" s="196"/>
      <c r="L19" s="196"/>
      <c r="M19" s="196"/>
      <c r="N19" s="193">
        <v>82</v>
      </c>
      <c r="O19" s="193">
        <f>C19</f>
        <v>1598.07</v>
      </c>
      <c r="P19" s="166"/>
    </row>
    <row r="20" spans="1:16" x14ac:dyDescent="0.2">
      <c r="A20" s="204"/>
      <c r="B20" s="73" t="s">
        <v>81</v>
      </c>
      <c r="C20" s="20">
        <f>IF(B17="",0,C8+C9)</f>
        <v>385</v>
      </c>
      <c r="D20" s="18">
        <v>80.5</v>
      </c>
      <c r="E20" s="48">
        <f>IF(C20=0,0,C20*D20)</f>
        <v>30992.5</v>
      </c>
      <c r="F20" s="148"/>
      <c r="G20" s="148"/>
      <c r="H20" s="150"/>
      <c r="I20" s="150"/>
      <c r="J20" s="150"/>
      <c r="K20" s="202"/>
      <c r="L20" s="196"/>
      <c r="M20" s="196"/>
      <c r="N20" s="193">
        <v>82</v>
      </c>
      <c r="O20" s="193">
        <v>2050</v>
      </c>
      <c r="P20" s="166"/>
    </row>
    <row r="21" spans="1:16" x14ac:dyDescent="0.2">
      <c r="A21" s="204"/>
      <c r="B21" s="73" t="s">
        <v>82</v>
      </c>
      <c r="C21" s="20">
        <f>IF(B17="",0,C10+C11)</f>
        <v>10</v>
      </c>
      <c r="D21" s="18">
        <v>118.1</v>
      </c>
      <c r="E21" s="48">
        <f>IF(C21=0,0,C21*D21)</f>
        <v>1181</v>
      </c>
      <c r="F21" s="148"/>
      <c r="G21" s="148"/>
      <c r="H21" s="148"/>
      <c r="I21" s="148"/>
      <c r="J21" s="148"/>
      <c r="K21" s="196"/>
      <c r="L21" s="196"/>
      <c r="M21" s="196"/>
      <c r="N21" s="193">
        <v>83.2</v>
      </c>
      <c r="O21" s="193">
        <v>2140</v>
      </c>
      <c r="P21" s="166"/>
    </row>
    <row r="22" spans="1:16" x14ac:dyDescent="0.2">
      <c r="A22" s="204"/>
      <c r="B22" s="10" t="s">
        <v>13</v>
      </c>
      <c r="C22" s="20">
        <f>IF(B17="",0,C12)</f>
        <v>10</v>
      </c>
      <c r="D22" s="18">
        <v>142.80000000000001</v>
      </c>
      <c r="E22" s="48">
        <f>IF(C22=0,0,C22*D22)</f>
        <v>1428</v>
      </c>
      <c r="F22" s="148"/>
      <c r="G22" s="148"/>
      <c r="H22" s="161"/>
      <c r="I22" s="161"/>
      <c r="J22" s="161"/>
      <c r="K22" s="201"/>
      <c r="L22" s="196"/>
      <c r="M22" s="196"/>
      <c r="N22" s="193">
        <v>93</v>
      </c>
      <c r="O22" s="193">
        <v>2140</v>
      </c>
      <c r="P22" s="166"/>
    </row>
    <row r="23" spans="1:16" x14ac:dyDescent="0.2">
      <c r="A23" s="204"/>
      <c r="B23" s="93" t="s">
        <v>16</v>
      </c>
      <c r="C23" s="94">
        <f>IF(B17=0,0,SUM(C19:C22))</f>
        <v>2003.07</v>
      </c>
      <c r="D23" s="94">
        <f>E23/C23</f>
        <v>86.47435186987974</v>
      </c>
      <c r="E23" s="102">
        <f>IF(B17="",0,SUM(E19:E22))</f>
        <v>173214.18</v>
      </c>
      <c r="F23" s="148"/>
      <c r="G23" s="148"/>
      <c r="H23" s="148"/>
      <c r="I23" s="159"/>
      <c r="J23" s="159"/>
      <c r="K23" s="203"/>
      <c r="L23" s="196"/>
      <c r="M23" s="196"/>
      <c r="N23" s="193">
        <v>93</v>
      </c>
      <c r="O23" s="193">
        <f>C19</f>
        <v>1598.07</v>
      </c>
      <c r="P23" s="166"/>
    </row>
    <row r="24" spans="1:16" x14ac:dyDescent="0.2">
      <c r="A24" s="204"/>
      <c r="B24" s="1" t="s">
        <v>32</v>
      </c>
      <c r="C24" s="19">
        <f>IF(C19=0,0,IF(G8="",G5*6,G8*6))</f>
        <v>288</v>
      </c>
      <c r="D24" s="19">
        <f>IF(B17="",0,95)</f>
        <v>95</v>
      </c>
      <c r="E24" s="48">
        <f>IF(C24=0,0,C24*D24)</f>
        <v>27360</v>
      </c>
      <c r="F24" s="148"/>
      <c r="G24" s="162"/>
      <c r="H24" s="162"/>
      <c r="I24" s="162"/>
      <c r="J24" s="162"/>
      <c r="K24" s="196"/>
      <c r="L24" s="196"/>
      <c r="M24" s="196"/>
      <c r="N24" s="193"/>
      <c r="O24" s="193"/>
      <c r="P24" s="166"/>
    </row>
    <row r="25" spans="1:16" x14ac:dyDescent="0.2">
      <c r="A25" s="204"/>
      <c r="B25" s="73"/>
      <c r="C25" s="49"/>
      <c r="D25" s="49"/>
      <c r="E25" s="41"/>
      <c r="F25" s="148"/>
      <c r="G25" s="177"/>
      <c r="H25" s="178"/>
      <c r="I25" s="190"/>
      <c r="J25" s="190"/>
      <c r="K25" s="199"/>
      <c r="L25" s="196"/>
      <c r="M25" s="196"/>
      <c r="N25" s="193">
        <f>D27</f>
        <v>87.526500282267065</v>
      </c>
      <c r="O25" s="193">
        <f>C27</f>
        <v>2285.0699999999997</v>
      </c>
      <c r="P25" s="166"/>
    </row>
    <row r="26" spans="1:16" x14ac:dyDescent="0.2">
      <c r="A26" s="204"/>
      <c r="B26" s="10" t="s">
        <v>28</v>
      </c>
      <c r="C26" s="57">
        <f>IF(B17="",0,G12*6)</f>
        <v>6</v>
      </c>
      <c r="D26" s="19">
        <f>IF(B17="",0,95)</f>
        <v>95</v>
      </c>
      <c r="E26" s="48">
        <f>IF(C26=0,0,C26*D26)*-1</f>
        <v>-570</v>
      </c>
      <c r="F26" s="148"/>
      <c r="G26" s="177"/>
      <c r="H26" s="178"/>
      <c r="I26" s="190"/>
      <c r="J26" s="190"/>
      <c r="K26" s="199"/>
      <c r="L26" s="196"/>
      <c r="M26" s="196"/>
      <c r="N26" s="193">
        <f>D30</f>
        <v>87.324974045760371</v>
      </c>
      <c r="O26" s="193">
        <f>C30</f>
        <v>2225.0699999999997</v>
      </c>
      <c r="P26" s="166"/>
    </row>
    <row r="27" spans="1:16" x14ac:dyDescent="0.2">
      <c r="A27" s="204"/>
      <c r="B27" s="93" t="s">
        <v>4</v>
      </c>
      <c r="C27" s="94">
        <f>IF(B17="","",(C23+C24)-C26)</f>
        <v>2285.0699999999997</v>
      </c>
      <c r="D27" s="94">
        <f>IF(C27=0,0,E27/C27)</f>
        <v>87.526500282267065</v>
      </c>
      <c r="E27" s="102">
        <f>IF(B17="","",SUM(E23,E24,E26))</f>
        <v>200004.18</v>
      </c>
      <c r="F27" s="148"/>
      <c r="G27" s="177"/>
      <c r="H27" s="178"/>
      <c r="I27" s="190"/>
      <c r="J27" s="190"/>
      <c r="K27" s="199"/>
      <c r="L27" s="196"/>
      <c r="M27" s="196"/>
      <c r="N27" s="193">
        <f>D23</f>
        <v>86.47435186987974</v>
      </c>
      <c r="O27" s="193">
        <f>C23</f>
        <v>2003.07</v>
      </c>
      <c r="P27" s="166"/>
    </row>
    <row r="28" spans="1:16" x14ac:dyDescent="0.2">
      <c r="A28" s="204"/>
      <c r="B28" s="1"/>
      <c r="C28" s="19"/>
      <c r="D28" s="19"/>
      <c r="E28" s="342"/>
      <c r="F28" s="148"/>
      <c r="G28" s="177"/>
      <c r="H28" s="178"/>
      <c r="I28" s="190"/>
      <c r="J28" s="190"/>
      <c r="K28" s="199"/>
      <c r="L28" s="196"/>
      <c r="M28" s="196"/>
      <c r="N28" s="193"/>
      <c r="O28" s="388"/>
      <c r="P28" s="166"/>
    </row>
    <row r="29" spans="1:16" x14ac:dyDescent="0.2">
      <c r="A29" s="204"/>
      <c r="B29" s="10" t="s">
        <v>14</v>
      </c>
      <c r="C29" s="19">
        <f>IF(B17="",0,(G11*6))</f>
        <v>60</v>
      </c>
      <c r="D29" s="19">
        <f>IF(B17="",0,95)</f>
        <v>95</v>
      </c>
      <c r="E29" s="48">
        <f>IF(C29=0,0,C29*D29)*-1</f>
        <v>-5700</v>
      </c>
      <c r="F29" s="148"/>
      <c r="G29" s="177"/>
      <c r="H29" s="178"/>
      <c r="I29" s="179"/>
      <c r="J29" s="179"/>
      <c r="K29" s="199"/>
      <c r="L29" s="196"/>
      <c r="M29" s="196"/>
      <c r="N29" s="193">
        <f>D19</f>
        <v>87.363306989055545</v>
      </c>
      <c r="O29" s="193">
        <f>C19</f>
        <v>1598.07</v>
      </c>
      <c r="P29" s="166"/>
    </row>
    <row r="30" spans="1:16" ht="13.5" thickBot="1" x14ac:dyDescent="0.25">
      <c r="A30" s="204"/>
      <c r="B30" s="93" t="s">
        <v>5</v>
      </c>
      <c r="C30" s="94">
        <f>IF(B17="",0,C27-C29)</f>
        <v>2225.0699999999997</v>
      </c>
      <c r="D30" s="94">
        <f>IF(C30=0,0,E30/C30)</f>
        <v>87.324974045760371</v>
      </c>
      <c r="E30" s="102">
        <f>IF(B17="",0,E27+E29)</f>
        <v>194304.18</v>
      </c>
      <c r="F30" s="148"/>
      <c r="G30" s="177"/>
      <c r="H30" s="178"/>
      <c r="I30" s="179"/>
      <c r="J30" s="179"/>
      <c r="K30" s="199"/>
      <c r="L30" s="196"/>
      <c r="M30" s="196"/>
      <c r="N30" s="196"/>
      <c r="O30" s="196"/>
      <c r="P30" s="166"/>
    </row>
    <row r="31" spans="1:16" x14ac:dyDescent="0.2">
      <c r="A31" s="204"/>
      <c r="B31" s="325" t="s">
        <v>72</v>
      </c>
      <c r="C31" s="278">
        <f>O15-O11</f>
        <v>951.93000000000006</v>
      </c>
      <c r="D31" s="279"/>
      <c r="E31" s="280"/>
      <c r="F31" s="196"/>
      <c r="G31" s="196"/>
      <c r="H31" s="197"/>
      <c r="I31" s="198"/>
      <c r="J31" s="198"/>
      <c r="K31" s="199"/>
      <c r="L31" s="196"/>
      <c r="M31" s="196"/>
      <c r="N31" s="193">
        <f>IF(B17="","",N25)</f>
        <v>87.526500282267065</v>
      </c>
      <c r="O31" s="193">
        <f>IF(B17="","",O25)</f>
        <v>2285.0699999999997</v>
      </c>
      <c r="P31" s="166"/>
    </row>
    <row r="32" spans="1:16" ht="13.5" thickBot="1" x14ac:dyDescent="0.25">
      <c r="A32" s="204"/>
      <c r="B32" s="326" t="s">
        <v>92</v>
      </c>
      <c r="C32" s="268">
        <f>IF(B17="","",C31-C24)</f>
        <v>663.93000000000006</v>
      </c>
      <c r="D32" s="277"/>
      <c r="E32" s="281"/>
      <c r="F32" s="205"/>
      <c r="G32" s="151"/>
      <c r="H32" s="172"/>
      <c r="I32" s="308" t="s">
        <v>79</v>
      </c>
      <c r="J32" s="180"/>
      <c r="K32" s="164"/>
      <c r="L32" s="196"/>
      <c r="M32" s="196"/>
      <c r="N32" s="193"/>
      <c r="O32" s="193"/>
      <c r="P32" s="166"/>
    </row>
    <row r="33" spans="1:16" ht="13.5" thickBot="1" x14ac:dyDescent="0.25">
      <c r="A33" s="204"/>
      <c r="B33" s="327" t="s">
        <v>73</v>
      </c>
      <c r="C33" s="270">
        <f>IF(C31="","",C32-(C20+C21+C22))</f>
        <v>258.93000000000006</v>
      </c>
      <c r="D33" s="632" t="str">
        <f>IF(C33&lt;0,"&lt;&lt;&lt;&lt;&lt;&lt;  Over Loaded! ","")</f>
        <v/>
      </c>
      <c r="E33" s="633"/>
      <c r="F33" s="200"/>
      <c r="G33" s="148"/>
      <c r="H33" s="148"/>
      <c r="I33" s="296">
        <v>25</v>
      </c>
      <c r="J33" s="148"/>
      <c r="K33" s="196"/>
      <c r="L33" s="196"/>
      <c r="M33" s="196"/>
      <c r="N33" s="331"/>
      <c r="O33" s="196"/>
      <c r="P33" s="166"/>
    </row>
    <row r="34" spans="1:16" x14ac:dyDescent="0.2">
      <c r="A34" s="204"/>
      <c r="B34" s="242"/>
      <c r="C34" s="242"/>
      <c r="D34" s="242"/>
      <c r="E34" s="242"/>
      <c r="F34" s="303"/>
      <c r="G34" s="357" t="s">
        <v>71</v>
      </c>
      <c r="H34" s="141">
        <v>300</v>
      </c>
      <c r="I34" s="295" t="s">
        <v>74</v>
      </c>
      <c r="J34" s="141"/>
      <c r="K34" s="187"/>
      <c r="L34" s="521"/>
      <c r="M34" s="196"/>
      <c r="N34" s="193">
        <v>288</v>
      </c>
      <c r="O34" s="196"/>
      <c r="P34" s="166"/>
    </row>
    <row r="35" spans="1:16" x14ac:dyDescent="0.2">
      <c r="A35" s="204"/>
      <c r="B35" s="567" t="s">
        <v>126</v>
      </c>
      <c r="C35" s="568">
        <v>113</v>
      </c>
      <c r="D35" s="148"/>
      <c r="E35" s="242"/>
      <c r="F35" s="242"/>
      <c r="G35" s="357" t="s">
        <v>70</v>
      </c>
      <c r="H35" s="141">
        <v>11</v>
      </c>
      <c r="I35" s="295" t="s">
        <v>76</v>
      </c>
      <c r="J35" s="141">
        <v>18</v>
      </c>
      <c r="K35" s="369"/>
      <c r="L35" s="522"/>
      <c r="M35" s="196"/>
      <c r="N35" s="220">
        <v>95</v>
      </c>
      <c r="O35" s="196"/>
      <c r="P35" s="166"/>
    </row>
    <row r="36" spans="1:16" x14ac:dyDescent="0.2">
      <c r="A36" s="204"/>
      <c r="B36" s="567" t="s">
        <v>128</v>
      </c>
      <c r="C36" s="569">
        <f>C35*(SQRT(C27/O15))</f>
        <v>106.96904230554139</v>
      </c>
      <c r="D36" s="148"/>
      <c r="E36" s="242"/>
      <c r="F36" s="242"/>
      <c r="G36" s="242"/>
      <c r="H36" s="148"/>
      <c r="I36" s="148"/>
      <c r="J36" s="148"/>
      <c r="K36" s="148"/>
      <c r="L36" s="341"/>
      <c r="M36" s="152"/>
      <c r="N36" s="193">
        <f>IF(N34=0,0,N34*N35)</f>
        <v>27360</v>
      </c>
      <c r="O36" s="196"/>
      <c r="P36" s="147"/>
    </row>
    <row r="37" spans="1:16" x14ac:dyDescent="0.2">
      <c r="A37" s="204"/>
      <c r="B37" s="567" t="s">
        <v>127</v>
      </c>
      <c r="C37" s="569">
        <f>C35*(SQRT(C30/O15))</f>
        <v>105.5553359756918</v>
      </c>
      <c r="D37" s="148"/>
      <c r="E37" s="148"/>
      <c r="F37" s="148"/>
      <c r="G37" s="613" t="s">
        <v>78</v>
      </c>
      <c r="H37" s="614"/>
      <c r="I37" s="194">
        <f>IF(H35="","",H35*ABS(SIN(RADIANS(H34-(I33*10)))))</f>
        <v>8.4264888743087578</v>
      </c>
      <c r="J37" s="137" t="s">
        <v>75</v>
      </c>
      <c r="K37" s="194">
        <f>IF(J35="","",J35*ABS(SIN(RADIANS(H34-(I33*10)))))</f>
        <v>13.788799976141604</v>
      </c>
      <c r="L37" s="298"/>
      <c r="M37" s="152"/>
      <c r="N37" s="497"/>
      <c r="O37" s="196"/>
      <c r="P37" s="147"/>
    </row>
    <row r="38" spans="1:16" x14ac:dyDescent="0.2">
      <c r="A38" s="204"/>
      <c r="B38" s="148"/>
      <c r="C38" s="148"/>
      <c r="D38" s="148"/>
      <c r="E38" s="148"/>
      <c r="F38" s="148"/>
      <c r="G38" s="613" t="s">
        <v>77</v>
      </c>
      <c r="H38" s="614"/>
      <c r="I38" s="194" t="str">
        <f>IF(J34="","",H35*ABS(SIN(RADIANS(H34-(I33*10)))))</f>
        <v/>
      </c>
      <c r="J38" s="195" t="s">
        <v>75</v>
      </c>
      <c r="K38" s="194" t="str">
        <f>IF(J34="","",IF(J35="",H35*ABS(SIN(RADIANS(J34-(I33*10)))),J35*ABS(SIN(RADIANS(J34-(I33*10))))))</f>
        <v/>
      </c>
      <c r="L38" s="298"/>
      <c r="M38" s="196"/>
      <c r="N38" s="196"/>
      <c r="O38" s="196"/>
      <c r="P38" s="166"/>
    </row>
    <row r="39" spans="1:16" ht="13.5" thickBot="1" x14ac:dyDescent="0.25">
      <c r="A39" s="207"/>
      <c r="B39" s="184"/>
      <c r="C39" s="370"/>
      <c r="D39" s="184"/>
      <c r="E39" s="184"/>
      <c r="F39" s="184"/>
      <c r="G39" s="371"/>
      <c r="H39" s="184"/>
      <c r="I39" s="184"/>
      <c r="J39" s="184"/>
      <c r="K39" s="184"/>
      <c r="L39" s="372"/>
      <c r="M39" s="211"/>
      <c r="N39" s="211"/>
      <c r="O39" s="211"/>
      <c r="P39" s="210"/>
    </row>
  </sheetData>
  <mergeCells count="11">
    <mergeCell ref="E10:G10"/>
    <mergeCell ref="B2:O2"/>
    <mergeCell ref="E4:G4"/>
    <mergeCell ref="I4:L4"/>
    <mergeCell ref="E7:G7"/>
    <mergeCell ref="E8:F8"/>
    <mergeCell ref="I11:L11"/>
    <mergeCell ref="H15:I15"/>
    <mergeCell ref="D33:E33"/>
    <mergeCell ref="G37:H37"/>
    <mergeCell ref="G38:H38"/>
  </mergeCells>
  <dataValidations count="1">
    <dataValidation type="list" allowBlank="1" showInputMessage="1" showErrorMessage="1" sqref="C4" xr:uid="{00000000-0002-0000-0600-000000000000}">
      <formula1>$I$5:$I$10</formula1>
    </dataValidation>
  </dataValidations>
  <pageMargins left="0.7" right="0.7" top="0.75" bottom="0.75" header="0.3" footer="0.3"/>
  <pageSetup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3366FF"/>
    <pageSetUpPr fitToPage="1"/>
  </sheetPr>
  <dimension ref="A1:P39"/>
  <sheetViews>
    <sheetView topLeftCell="A13" zoomScale="90" zoomScaleNormal="90" workbookViewId="0">
      <selection activeCell="L9" sqref="L9"/>
    </sheetView>
  </sheetViews>
  <sheetFormatPr defaultRowHeight="12.75" x14ac:dyDescent="0.2"/>
  <cols>
    <col min="1" max="1" width="2.7109375" customWidth="1"/>
    <col min="2" max="2" width="21.5703125" customWidth="1"/>
    <col min="3" max="4" width="9.28515625" customWidth="1"/>
    <col min="5" max="5" width="10.140625" customWidth="1"/>
    <col min="7" max="7" width="14.85546875" customWidth="1"/>
    <col min="9" max="10" width="10" customWidth="1"/>
    <col min="11" max="11" width="9" customWidth="1"/>
    <col min="12" max="12" width="9.85546875" customWidth="1"/>
    <col min="13" max="13" width="2.7109375" customWidth="1"/>
    <col min="14" max="14" width="9.85546875" customWidth="1"/>
    <col min="15" max="15" width="7.7109375" customWidth="1"/>
    <col min="16" max="16" width="2.7109375" customWidth="1"/>
  </cols>
  <sheetData>
    <row r="1" spans="1:16" ht="13.5" thickBot="1" x14ac:dyDescent="0.25">
      <c r="A1" s="169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45"/>
    </row>
    <row r="2" spans="1:16" ht="13.5" thickBot="1" x14ac:dyDescent="0.25">
      <c r="A2" s="171"/>
      <c r="B2" s="619" t="s">
        <v>41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1"/>
      <c r="P2" s="146"/>
    </row>
    <row r="3" spans="1:16" ht="13.5" thickBot="1" x14ac:dyDescent="0.25">
      <c r="A3" s="171"/>
      <c r="B3" s="148"/>
      <c r="C3" s="148"/>
      <c r="D3" s="148"/>
      <c r="E3" s="148"/>
      <c r="F3" s="161"/>
      <c r="G3" s="148"/>
      <c r="H3" s="148"/>
      <c r="I3" s="175"/>
      <c r="J3" s="175"/>
      <c r="K3" s="175"/>
      <c r="L3" s="148"/>
      <c r="M3" s="148"/>
      <c r="N3" s="148"/>
      <c r="O3" s="148"/>
      <c r="P3" s="146"/>
    </row>
    <row r="4" spans="1:16" ht="13.5" thickBot="1" x14ac:dyDescent="0.25">
      <c r="A4" s="171"/>
      <c r="B4" s="4" t="s">
        <v>33</v>
      </c>
      <c r="C4" s="63" t="s">
        <v>108</v>
      </c>
      <c r="D4" s="148"/>
      <c r="E4" s="657" t="s">
        <v>46</v>
      </c>
      <c r="F4" s="659"/>
      <c r="G4" s="658"/>
      <c r="H4" s="149"/>
      <c r="I4" s="625" t="s">
        <v>40</v>
      </c>
      <c r="J4" s="660"/>
      <c r="K4" s="626"/>
      <c r="L4" s="627"/>
      <c r="M4" s="149"/>
      <c r="N4" s="148"/>
      <c r="O4" s="150"/>
      <c r="P4" s="146"/>
    </row>
    <row r="5" spans="1:16" ht="13.5" thickBot="1" x14ac:dyDescent="0.25">
      <c r="A5" s="171"/>
      <c r="B5" s="148"/>
      <c r="C5" s="148"/>
      <c r="D5" s="148"/>
      <c r="E5" s="661" t="s">
        <v>47</v>
      </c>
      <c r="F5" s="662"/>
      <c r="G5" s="63">
        <v>72</v>
      </c>
      <c r="H5" s="149"/>
      <c r="I5" s="628" t="str">
        <f>"Total Fuel (gal)    ="</f>
        <v>Total Fuel (gal)    =</v>
      </c>
      <c r="J5" s="652"/>
      <c r="K5" s="629"/>
      <c r="L5" s="62"/>
      <c r="M5" s="149"/>
      <c r="N5" s="148"/>
      <c r="O5" s="150"/>
      <c r="P5" s="146"/>
    </row>
    <row r="6" spans="1:16" ht="13.5" thickBot="1" x14ac:dyDescent="0.25">
      <c r="A6" s="171"/>
      <c r="B6" s="153"/>
      <c r="C6" s="153"/>
      <c r="D6" s="148"/>
      <c r="E6" s="148"/>
      <c r="F6" s="161"/>
      <c r="G6" s="161"/>
      <c r="H6" s="148"/>
      <c r="I6" s="153"/>
      <c r="J6" s="153"/>
      <c r="K6" s="153"/>
      <c r="L6" s="153"/>
      <c r="M6" s="148"/>
      <c r="N6" s="148"/>
      <c r="O6" s="148"/>
      <c r="P6" s="146"/>
    </row>
    <row r="7" spans="1:16" ht="13.5" thickBot="1" x14ac:dyDescent="0.25">
      <c r="A7" s="171"/>
      <c r="B7" s="116" t="s">
        <v>84</v>
      </c>
      <c r="C7" s="110">
        <v>200</v>
      </c>
      <c r="D7" s="148"/>
      <c r="E7" s="616" t="s">
        <v>22</v>
      </c>
      <c r="F7" s="617"/>
      <c r="G7" s="618"/>
      <c r="H7" s="148"/>
      <c r="I7" s="657" t="s">
        <v>19</v>
      </c>
      <c r="J7" s="659"/>
      <c r="K7" s="659"/>
      <c r="L7" s="658"/>
      <c r="M7" s="148"/>
      <c r="N7" s="153"/>
      <c r="O7" s="153"/>
      <c r="P7" s="146"/>
    </row>
    <row r="8" spans="1:16" ht="13.5" thickBot="1" x14ac:dyDescent="0.25">
      <c r="A8" s="171"/>
      <c r="B8" s="364" t="s">
        <v>83</v>
      </c>
      <c r="C8" s="65">
        <v>185</v>
      </c>
      <c r="D8" s="148"/>
      <c r="E8" s="653" t="str">
        <f>"Total Fuel (gal)       ="</f>
        <v>Total Fuel (gal)       =</v>
      </c>
      <c r="F8" s="654"/>
      <c r="G8" s="64">
        <v>18</v>
      </c>
      <c r="H8" s="148"/>
      <c r="I8" s="555" t="s">
        <v>108</v>
      </c>
      <c r="J8" s="314">
        <f>IF(I8="","",L8/K8)</f>
        <v>86.804725094267283</v>
      </c>
      <c r="K8" s="314">
        <v>1747.69</v>
      </c>
      <c r="L8" s="89">
        <v>151707.75</v>
      </c>
      <c r="M8" s="148"/>
      <c r="N8" s="153"/>
      <c r="O8" s="153"/>
      <c r="P8" s="217"/>
    </row>
    <row r="9" spans="1:16" ht="13.5" thickBot="1" x14ac:dyDescent="0.25">
      <c r="A9" s="171"/>
      <c r="B9" s="366" t="s">
        <v>85</v>
      </c>
      <c r="C9" s="114">
        <v>10</v>
      </c>
      <c r="D9" s="148"/>
      <c r="E9" s="655" t="s">
        <v>27</v>
      </c>
      <c r="F9" s="656"/>
      <c r="G9" s="66">
        <v>2</v>
      </c>
      <c r="H9" s="148"/>
      <c r="I9" s="83"/>
      <c r="J9" s="312"/>
      <c r="K9" s="80"/>
      <c r="L9" s="556"/>
      <c r="M9" s="151"/>
      <c r="N9" s="152"/>
      <c r="O9" s="152"/>
      <c r="P9" s="191"/>
    </row>
    <row r="10" spans="1:16" ht="13.5" thickBot="1" x14ac:dyDescent="0.25">
      <c r="A10" s="171"/>
      <c r="B10" s="74" t="s">
        <v>86</v>
      </c>
      <c r="C10" s="65">
        <v>0</v>
      </c>
      <c r="D10" s="148"/>
      <c r="E10" s="554"/>
      <c r="F10" s="554"/>
      <c r="G10" s="161"/>
      <c r="H10" s="148"/>
      <c r="I10" s="362"/>
      <c r="J10" s="363"/>
      <c r="K10" s="156"/>
      <c r="L10" s="157"/>
      <c r="M10" s="151"/>
      <c r="N10" s="152"/>
      <c r="O10" s="152"/>
      <c r="P10" s="191"/>
    </row>
    <row r="11" spans="1:16" ht="13.5" thickBot="1" x14ac:dyDescent="0.25">
      <c r="A11" s="171"/>
      <c r="B11" s="365" t="s">
        <v>13</v>
      </c>
      <c r="C11" s="62">
        <v>10</v>
      </c>
      <c r="D11" s="148"/>
      <c r="E11" s="554"/>
      <c r="F11" s="554"/>
      <c r="G11" s="161"/>
      <c r="H11" s="148"/>
      <c r="I11" s="362"/>
      <c r="J11" s="363"/>
      <c r="K11" s="156"/>
      <c r="L11" s="257"/>
      <c r="M11" s="152"/>
      <c r="N11" s="152"/>
      <c r="O11" s="152"/>
      <c r="P11" s="147"/>
    </row>
    <row r="12" spans="1:16" x14ac:dyDescent="0.2">
      <c r="A12" s="171"/>
      <c r="B12" s="148"/>
      <c r="C12" s="161"/>
      <c r="D12" s="148"/>
      <c r="E12" s="554"/>
      <c r="F12" s="554"/>
      <c r="G12" s="161"/>
      <c r="H12" s="148"/>
      <c r="I12" s="362"/>
      <c r="J12" s="363"/>
      <c r="K12" s="156"/>
      <c r="L12" s="257"/>
      <c r="M12" s="152"/>
      <c r="N12" s="152"/>
      <c r="O12" s="152"/>
      <c r="P12" s="147"/>
    </row>
    <row r="13" spans="1:16" ht="13.5" thickBot="1" x14ac:dyDescent="0.25">
      <c r="A13" s="171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96"/>
      <c r="M13" s="196"/>
      <c r="N13" s="631"/>
      <c r="O13" s="631"/>
      <c r="P13" s="509"/>
    </row>
    <row r="14" spans="1:16" ht="13.5" thickBot="1" x14ac:dyDescent="0.25">
      <c r="A14" s="171"/>
      <c r="B14" s="218"/>
      <c r="C14" s="148"/>
      <c r="D14" s="148"/>
      <c r="E14" s="148"/>
      <c r="F14" s="148"/>
      <c r="G14" s="160"/>
      <c r="H14" s="657" t="s">
        <v>123</v>
      </c>
      <c r="I14" s="658"/>
      <c r="J14" s="160"/>
      <c r="K14" s="160"/>
      <c r="L14" s="196"/>
      <c r="M14" s="196"/>
      <c r="N14" s="168"/>
      <c r="O14" s="168"/>
      <c r="P14" s="509"/>
    </row>
    <row r="15" spans="1:16" x14ac:dyDescent="0.2">
      <c r="A15" s="171"/>
      <c r="B15" s="90" t="s">
        <v>2</v>
      </c>
      <c r="C15" s="91" t="s">
        <v>0</v>
      </c>
      <c r="D15" s="91" t="s">
        <v>3</v>
      </c>
      <c r="E15" s="92" t="s">
        <v>1</v>
      </c>
      <c r="F15" s="148"/>
      <c r="G15" s="148"/>
      <c r="H15" s="148"/>
      <c r="I15" s="148"/>
      <c r="J15" s="148"/>
      <c r="K15" s="148"/>
      <c r="L15" s="196"/>
      <c r="M15" s="196"/>
      <c r="N15" s="192">
        <v>91.5</v>
      </c>
      <c r="O15" s="192">
        <f>C18</f>
        <v>1747.69</v>
      </c>
      <c r="P15" s="510"/>
    </row>
    <row r="16" spans="1:16" x14ac:dyDescent="0.2">
      <c r="A16" s="171"/>
      <c r="B16" s="30" t="str">
        <f>C4</f>
        <v>5932V</v>
      </c>
      <c r="C16" s="7"/>
      <c r="D16" s="26"/>
      <c r="E16" s="5"/>
      <c r="F16" s="148"/>
      <c r="G16" s="148"/>
      <c r="H16" s="148"/>
      <c r="I16" s="148"/>
      <c r="J16" s="148"/>
      <c r="K16" s="148"/>
      <c r="L16" s="196"/>
      <c r="M16" s="196"/>
      <c r="N16" s="193">
        <v>82</v>
      </c>
      <c r="O16" s="193">
        <f>C18</f>
        <v>1747.69</v>
      </c>
      <c r="P16" s="510"/>
    </row>
    <row r="17" spans="1:16" x14ac:dyDescent="0.2">
      <c r="A17" s="171"/>
      <c r="B17" s="1"/>
      <c r="C17" s="9"/>
      <c r="D17" s="27"/>
      <c r="E17" s="6"/>
      <c r="F17" s="148"/>
      <c r="G17" s="148"/>
      <c r="H17" s="148"/>
      <c r="I17" s="148"/>
      <c r="J17" s="148"/>
      <c r="K17" s="148"/>
      <c r="L17" s="196"/>
      <c r="M17" s="196"/>
      <c r="N17" s="193">
        <v>82</v>
      </c>
      <c r="O17" s="193">
        <v>2375</v>
      </c>
      <c r="P17" s="511"/>
    </row>
    <row r="18" spans="1:16" x14ac:dyDescent="0.2">
      <c r="A18" s="171"/>
      <c r="B18" s="1" t="s">
        <v>31</v>
      </c>
      <c r="C18" s="37">
        <f>IF(I8=C4,K8,K9)</f>
        <v>1747.69</v>
      </c>
      <c r="D18" s="28">
        <f>IF(C18=0,0,(E18/C18))</f>
        <v>86.804725094267283</v>
      </c>
      <c r="E18" s="17">
        <f>IF(I8=C4,L8,L9)</f>
        <v>151707.75</v>
      </c>
      <c r="F18" s="149"/>
      <c r="G18" s="148"/>
      <c r="H18" s="148"/>
      <c r="I18" s="148"/>
      <c r="J18" s="148"/>
      <c r="K18" s="148"/>
      <c r="L18" s="196"/>
      <c r="M18" s="196"/>
      <c r="N18" s="193">
        <v>88.9</v>
      </c>
      <c r="O18" s="193">
        <f>IF(C4=I8,2750,2750)</f>
        <v>2750</v>
      </c>
      <c r="P18" s="511"/>
    </row>
    <row r="19" spans="1:16" x14ac:dyDescent="0.2">
      <c r="A19" s="171"/>
      <c r="B19" s="73" t="s">
        <v>81</v>
      </c>
      <c r="C19" s="20">
        <f>IF(B16="",0,C7+C8)</f>
        <v>385</v>
      </c>
      <c r="D19" s="28">
        <v>80.5</v>
      </c>
      <c r="E19" s="17">
        <f>IF(C19=0,0,C19*D19)</f>
        <v>30992.5</v>
      </c>
      <c r="F19" s="149"/>
      <c r="G19" s="148"/>
      <c r="H19" s="148"/>
      <c r="I19" s="148"/>
      <c r="J19" s="148"/>
      <c r="K19" s="148"/>
      <c r="L19" s="196"/>
      <c r="M19" s="196"/>
      <c r="N19" s="193">
        <v>91.5</v>
      </c>
      <c r="O19" s="193">
        <v>2750</v>
      </c>
      <c r="P19" s="511"/>
    </row>
    <row r="20" spans="1:16" x14ac:dyDescent="0.2">
      <c r="A20" s="171"/>
      <c r="B20" s="73" t="s">
        <v>82</v>
      </c>
      <c r="C20" s="20">
        <f>IF(B16="",0,C9+C10)</f>
        <v>10</v>
      </c>
      <c r="D20" s="28">
        <v>118.1</v>
      </c>
      <c r="E20" s="17">
        <f>IF(C20=0,0,C20*D20)</f>
        <v>1181</v>
      </c>
      <c r="F20" s="149"/>
      <c r="G20" s="148"/>
      <c r="H20" s="148"/>
      <c r="I20" s="148"/>
      <c r="J20" s="148"/>
      <c r="K20" s="148"/>
      <c r="L20" s="196"/>
      <c r="M20" s="196"/>
      <c r="N20" s="193">
        <v>91.5</v>
      </c>
      <c r="O20" s="193">
        <f>C18</f>
        <v>1747.69</v>
      </c>
      <c r="P20" s="511"/>
    </row>
    <row r="21" spans="1:16" x14ac:dyDescent="0.2">
      <c r="A21" s="171"/>
      <c r="B21" s="10" t="s">
        <v>13</v>
      </c>
      <c r="C21" s="20">
        <f>IF(B16="",0,C11)</f>
        <v>10</v>
      </c>
      <c r="D21" s="28">
        <v>142.80000000000001</v>
      </c>
      <c r="E21" s="17">
        <f>IF(C21=0,0,C21*D21)</f>
        <v>1428</v>
      </c>
      <c r="F21" s="149"/>
      <c r="G21" s="148"/>
      <c r="H21" s="148"/>
      <c r="I21" s="148"/>
      <c r="J21" s="148"/>
      <c r="K21" s="148"/>
      <c r="L21" s="196"/>
      <c r="M21" s="196"/>
      <c r="N21" s="168"/>
      <c r="O21" s="168"/>
      <c r="P21" s="511"/>
    </row>
    <row r="22" spans="1:16" x14ac:dyDescent="0.2">
      <c r="A22" s="171"/>
      <c r="B22" s="93" t="s">
        <v>16</v>
      </c>
      <c r="C22" s="94">
        <f>IF(B16=0,0,SUM(C18:C21))</f>
        <v>2152.69</v>
      </c>
      <c r="D22" s="95">
        <f>E22/C22</f>
        <v>86.082645434317058</v>
      </c>
      <c r="E22" s="96">
        <f>IF(B16="",0,SUM(E18:E21))</f>
        <v>185309.25</v>
      </c>
      <c r="F22" s="149"/>
      <c r="G22" s="148"/>
      <c r="H22" s="148"/>
      <c r="I22" s="148"/>
      <c r="J22" s="148"/>
      <c r="K22" s="148"/>
      <c r="L22" s="196"/>
      <c r="M22" s="196"/>
      <c r="N22" s="168"/>
      <c r="O22" s="168"/>
      <c r="P22" s="512"/>
    </row>
    <row r="23" spans="1:16" x14ac:dyDescent="0.2">
      <c r="A23" s="171"/>
      <c r="B23" s="1" t="s">
        <v>32</v>
      </c>
      <c r="C23" s="19">
        <f>IF(C18=0,0,IF(L5="",G5*6,L5*6))</f>
        <v>432</v>
      </c>
      <c r="D23" s="29">
        <f>IF(B16="",0,95)</f>
        <v>95</v>
      </c>
      <c r="E23" s="17">
        <f>IF(C23=0,0,C23*D23)</f>
        <v>41040</v>
      </c>
      <c r="F23" s="149"/>
      <c r="G23" s="148"/>
      <c r="H23" s="148"/>
      <c r="I23" s="148"/>
      <c r="J23" s="148"/>
      <c r="K23" s="148"/>
      <c r="L23" s="196"/>
      <c r="M23" s="196"/>
      <c r="N23" s="168"/>
      <c r="O23" s="168"/>
      <c r="P23" s="512"/>
    </row>
    <row r="24" spans="1:16" x14ac:dyDescent="0.2">
      <c r="A24" s="171"/>
      <c r="B24" s="1"/>
      <c r="C24" s="69"/>
      <c r="D24" s="22"/>
      <c r="E24" s="23"/>
      <c r="F24" s="149"/>
      <c r="G24" s="148"/>
      <c r="H24" s="148"/>
      <c r="I24" s="148"/>
      <c r="J24" s="148"/>
      <c r="K24" s="148"/>
      <c r="L24" s="196"/>
      <c r="M24" s="196"/>
      <c r="N24" s="220"/>
      <c r="O24" s="220"/>
      <c r="P24" s="512"/>
    </row>
    <row r="25" spans="1:16" x14ac:dyDescent="0.2">
      <c r="A25" s="171"/>
      <c r="B25" s="10" t="s">
        <v>28</v>
      </c>
      <c r="C25" s="58">
        <f>IF(B16="",0,G9*6)*-1</f>
        <v>-12</v>
      </c>
      <c r="D25" s="29">
        <f>IF(B16="",0,95)</f>
        <v>95</v>
      </c>
      <c r="E25" s="17">
        <f>IF(C25=0,0,C25*D25)</f>
        <v>-1140</v>
      </c>
      <c r="F25" s="149"/>
      <c r="G25" s="148"/>
      <c r="H25" s="148"/>
      <c r="I25" s="148"/>
      <c r="J25" s="148"/>
      <c r="K25" s="148"/>
      <c r="L25" s="196"/>
      <c r="M25" s="201" t="s">
        <v>111</v>
      </c>
      <c r="N25" s="193">
        <f>D26</f>
        <v>87.538432535595035</v>
      </c>
      <c r="O25" s="193">
        <f>C26</f>
        <v>2572.69</v>
      </c>
      <c r="P25" s="512"/>
    </row>
    <row r="26" spans="1:16" x14ac:dyDescent="0.2">
      <c r="A26" s="171"/>
      <c r="B26" s="93" t="s">
        <v>4</v>
      </c>
      <c r="C26" s="103">
        <f>IF(B16="","",(C22+C23+C25))</f>
        <v>2572.69</v>
      </c>
      <c r="D26" s="95">
        <f>IF(C26=0,0,E26/C26)</f>
        <v>87.538432535595035</v>
      </c>
      <c r="E26" s="96">
        <f>IF(B16="",0,SUM(E22:E25))</f>
        <v>225209.25</v>
      </c>
      <c r="F26" s="149"/>
      <c r="G26" s="148"/>
      <c r="H26" s="148"/>
      <c r="I26" s="148"/>
      <c r="J26" s="148"/>
      <c r="K26" s="148"/>
      <c r="L26" s="196"/>
      <c r="M26" s="201" t="s">
        <v>110</v>
      </c>
      <c r="N26" s="193">
        <f>D30</f>
        <v>87.211474871079119</v>
      </c>
      <c r="O26" s="193">
        <f>C30</f>
        <v>2464.69</v>
      </c>
      <c r="P26" s="512"/>
    </row>
    <row r="27" spans="1:16" x14ac:dyDescent="0.2">
      <c r="A27" s="171"/>
      <c r="B27" s="35" t="s">
        <v>34</v>
      </c>
      <c r="C27" s="34"/>
      <c r="D27" s="32">
        <f>(E26+E27)/C26</f>
        <v>87.856776370258359</v>
      </c>
      <c r="E27" s="33">
        <v>819</v>
      </c>
      <c r="F27" s="149"/>
      <c r="G27" s="148"/>
      <c r="H27" s="148"/>
      <c r="I27" s="148"/>
      <c r="J27" s="148"/>
      <c r="K27" s="148"/>
      <c r="L27" s="196"/>
      <c r="M27" s="201" t="s">
        <v>109</v>
      </c>
      <c r="N27" s="193">
        <f>D22</f>
        <v>86.082645434317058</v>
      </c>
      <c r="O27" s="193">
        <f>C22</f>
        <v>2152.69</v>
      </c>
      <c r="P27" s="512"/>
    </row>
    <row r="28" spans="1:16" x14ac:dyDescent="0.2">
      <c r="A28" s="171"/>
      <c r="B28" s="1"/>
      <c r="C28" s="21"/>
      <c r="D28" s="29"/>
      <c r="E28" s="23"/>
      <c r="F28" s="149"/>
      <c r="G28" s="148"/>
      <c r="H28" s="148"/>
      <c r="I28" s="148"/>
      <c r="J28" s="148"/>
      <c r="K28" s="148"/>
      <c r="L28" s="196"/>
      <c r="M28" s="196"/>
      <c r="N28" s="220"/>
      <c r="O28" s="221"/>
      <c r="P28" s="512"/>
    </row>
    <row r="29" spans="1:16" x14ac:dyDescent="0.2">
      <c r="A29" s="171"/>
      <c r="B29" s="10" t="s">
        <v>14</v>
      </c>
      <c r="C29" s="21">
        <f>IF(B16="",0,(G8*6))*-1</f>
        <v>-108</v>
      </c>
      <c r="D29" s="29">
        <f>IF(B16="",0,95)</f>
        <v>95</v>
      </c>
      <c r="E29" s="17">
        <f>IF(C29=0,0,C29*D29)</f>
        <v>-10260</v>
      </c>
      <c r="F29" s="149"/>
      <c r="G29" s="148"/>
      <c r="H29" s="148"/>
      <c r="I29" s="148"/>
      <c r="J29" s="148"/>
      <c r="K29" s="148"/>
      <c r="L29" s="196"/>
      <c r="M29" s="196"/>
      <c r="N29" s="193">
        <f>D18</f>
        <v>86.804725094267283</v>
      </c>
      <c r="O29" s="193">
        <f>C18</f>
        <v>1747.69</v>
      </c>
      <c r="P29" s="512"/>
    </row>
    <row r="30" spans="1:16" ht="13.5" thickBot="1" x14ac:dyDescent="0.25">
      <c r="A30" s="171"/>
      <c r="B30" s="93" t="s">
        <v>5</v>
      </c>
      <c r="C30" s="94">
        <f>IF(B16="",0,C26+C29)</f>
        <v>2464.69</v>
      </c>
      <c r="D30" s="95">
        <f>IF(C30=0,0,E30/C30)</f>
        <v>87.211474871079119</v>
      </c>
      <c r="E30" s="96">
        <f>IF(B16="",0,E26+E29)</f>
        <v>214949.25</v>
      </c>
      <c r="F30" s="149"/>
      <c r="G30" s="148"/>
      <c r="H30" s="148"/>
      <c r="I30" s="148"/>
      <c r="J30" s="148"/>
      <c r="K30" s="148"/>
      <c r="L30" s="196"/>
      <c r="M30" s="196"/>
      <c r="N30" s="193"/>
      <c r="O30" s="193"/>
      <c r="P30" s="512"/>
    </row>
    <row r="31" spans="1:16" x14ac:dyDescent="0.2">
      <c r="A31" s="171"/>
      <c r="B31" s="249" t="s">
        <v>72</v>
      </c>
      <c r="C31" s="272">
        <f>IF(B16="","",O19-O15)</f>
        <v>1002.31</v>
      </c>
      <c r="D31" s="285"/>
      <c r="E31" s="286"/>
      <c r="F31" s="149"/>
      <c r="G31" s="149"/>
      <c r="H31" s="148"/>
      <c r="I31" s="148"/>
      <c r="J31" s="148"/>
      <c r="K31" s="148"/>
      <c r="L31" s="196"/>
      <c r="M31" s="196"/>
      <c r="N31" s="193">
        <f>N25</f>
        <v>87.538432535595035</v>
      </c>
      <c r="O31" s="193">
        <f>O25</f>
        <v>2572.69</v>
      </c>
      <c r="P31" s="147"/>
    </row>
    <row r="32" spans="1:16" ht="13.5" thickBot="1" x14ac:dyDescent="0.25">
      <c r="A32" s="171"/>
      <c r="B32" s="273" t="s">
        <v>106</v>
      </c>
      <c r="C32" s="271">
        <f>IF(B16="","",C31-C23)</f>
        <v>570.30999999999995</v>
      </c>
      <c r="D32" s="284"/>
      <c r="E32" s="287"/>
      <c r="F32" s="149"/>
      <c r="G32" s="151"/>
      <c r="H32" s="172"/>
      <c r="I32" s="308" t="s">
        <v>79</v>
      </c>
      <c r="J32" s="180"/>
      <c r="K32" s="164"/>
      <c r="L32" s="196"/>
      <c r="M32" s="196"/>
      <c r="N32" s="193"/>
      <c r="O32" s="193"/>
      <c r="P32" s="147"/>
    </row>
    <row r="33" spans="1:16" ht="13.5" thickBot="1" x14ac:dyDescent="0.25">
      <c r="A33" s="171"/>
      <c r="B33" s="282" t="s">
        <v>73</v>
      </c>
      <c r="C33" s="283">
        <f>IF(C31="","",C32-(C19+C20+C21))</f>
        <v>165.30999999999995</v>
      </c>
      <c r="D33" s="632" t="str">
        <f>IF(C33&lt;0,"&lt;&lt;&lt;&lt;&lt;&lt;  Over Loaded! ","")</f>
        <v/>
      </c>
      <c r="E33" s="633"/>
      <c r="F33" s="149"/>
      <c r="G33" s="153"/>
      <c r="H33" s="153"/>
      <c r="I33" s="296">
        <v>25</v>
      </c>
      <c r="J33" s="153"/>
      <c r="K33" s="168"/>
      <c r="L33" s="196"/>
      <c r="M33" s="196"/>
      <c r="N33" s="168"/>
      <c r="O33" s="168"/>
      <c r="P33" s="147"/>
    </row>
    <row r="34" spans="1:16" x14ac:dyDescent="0.2">
      <c r="A34" s="171"/>
      <c r="B34" s="148"/>
      <c r="C34" s="148"/>
      <c r="D34" s="148"/>
      <c r="E34" s="148"/>
      <c r="F34" s="149"/>
      <c r="G34" s="553" t="s">
        <v>71</v>
      </c>
      <c r="H34" s="141">
        <v>270</v>
      </c>
      <c r="I34" s="295" t="s">
        <v>74</v>
      </c>
      <c r="J34" s="141"/>
      <c r="K34" s="187"/>
      <c r="L34" s="196"/>
      <c r="M34" s="196"/>
      <c r="N34" s="331"/>
      <c r="O34" s="196"/>
      <c r="P34" s="147"/>
    </row>
    <row r="35" spans="1:16" x14ac:dyDescent="0.2">
      <c r="A35" s="171"/>
      <c r="B35" s="567" t="s">
        <v>126</v>
      </c>
      <c r="C35" s="568">
        <v>118</v>
      </c>
      <c r="D35" s="242"/>
      <c r="E35" s="242"/>
      <c r="F35" s="303"/>
      <c r="G35" s="553" t="s">
        <v>70</v>
      </c>
      <c r="H35" s="141">
        <v>15</v>
      </c>
      <c r="I35" s="295" t="s">
        <v>76</v>
      </c>
      <c r="J35" s="141">
        <v>22</v>
      </c>
      <c r="K35" s="302"/>
      <c r="L35" s="521"/>
      <c r="M35" s="521"/>
      <c r="N35" s="168"/>
      <c r="O35" s="196"/>
      <c r="P35" s="147"/>
    </row>
    <row r="36" spans="1:16" x14ac:dyDescent="0.2">
      <c r="A36" s="171"/>
      <c r="B36" s="567" t="s">
        <v>128</v>
      </c>
      <c r="C36" s="569">
        <f>C35*(SQRT(C26/O18))</f>
        <v>114.13251558047457</v>
      </c>
      <c r="D36" s="242"/>
      <c r="E36" s="242"/>
      <c r="F36" s="242"/>
      <c r="G36" s="135"/>
      <c r="H36" s="153"/>
      <c r="I36" s="153"/>
      <c r="J36" s="153"/>
      <c r="K36" s="153"/>
      <c r="L36" s="521"/>
      <c r="M36" s="521"/>
      <c r="N36" s="193">
        <v>432</v>
      </c>
      <c r="O36" s="196"/>
      <c r="P36" s="222"/>
    </row>
    <row r="37" spans="1:16" x14ac:dyDescent="0.2">
      <c r="A37" s="171"/>
      <c r="B37" s="567" t="s">
        <v>127</v>
      </c>
      <c r="C37" s="569">
        <f>C35*(SQRT(C30/O18))</f>
        <v>111.71122440552614</v>
      </c>
      <c r="D37" s="242"/>
      <c r="E37" s="242"/>
      <c r="F37" s="242"/>
      <c r="G37" s="613" t="s">
        <v>78</v>
      </c>
      <c r="H37" s="614"/>
      <c r="I37" s="194">
        <f>IF(H35="","",H35*ABS(SIN(RADIANS(H34-(I33*10)))))</f>
        <v>5.130302149885031</v>
      </c>
      <c r="J37" s="137" t="s">
        <v>75</v>
      </c>
      <c r="K37" s="194">
        <f>IF(J35="","",J35*ABS(SIN(RADIANS(H34-(I33*10)))))</f>
        <v>7.5244431531647118</v>
      </c>
      <c r="L37" s="529"/>
      <c r="M37" s="527"/>
      <c r="N37" s="220">
        <v>95</v>
      </c>
      <c r="O37" s="196"/>
      <c r="P37" s="222"/>
    </row>
    <row r="38" spans="1:16" x14ac:dyDescent="0.2">
      <c r="A38" s="171"/>
      <c r="B38" s="615"/>
      <c r="C38" s="615"/>
      <c r="D38" s="139"/>
      <c r="E38" s="142"/>
      <c r="F38" s="139"/>
      <c r="G38" s="613" t="s">
        <v>77</v>
      </c>
      <c r="H38" s="614"/>
      <c r="I38" s="194" t="str">
        <f>IF(J34="","",H35*ABS(SIN(RADIANS(H34-(I33*10)))))</f>
        <v/>
      </c>
      <c r="J38" s="195" t="s">
        <v>75</v>
      </c>
      <c r="K38" s="194" t="str">
        <f>IF(J34="","",IF(J35="",H35*ABS(SIN(RADIANS(J34-(I33*10)))),J35*ABS(SIN(RADIANS(J34-(I33*10))))))</f>
        <v/>
      </c>
      <c r="L38" s="530"/>
      <c r="M38" s="528"/>
      <c r="N38" s="193">
        <f>IF(N36=0,0,N36*N37)</f>
        <v>41040</v>
      </c>
      <c r="O38" s="168"/>
      <c r="P38" s="222"/>
    </row>
    <row r="39" spans="1:16" ht="13.5" thickBot="1" x14ac:dyDescent="0.25">
      <c r="A39" s="181"/>
      <c r="B39" s="184"/>
      <c r="C39" s="184"/>
      <c r="D39" s="184"/>
      <c r="E39" s="184"/>
      <c r="F39" s="184"/>
      <c r="G39" s="216"/>
      <c r="H39" s="184"/>
      <c r="I39" s="184"/>
      <c r="J39" s="184"/>
      <c r="K39" s="184"/>
      <c r="L39" s="211"/>
      <c r="M39" s="211"/>
      <c r="N39" s="211"/>
      <c r="O39" s="211"/>
      <c r="P39" s="502"/>
    </row>
  </sheetData>
  <mergeCells count="15">
    <mergeCell ref="E7:G7"/>
    <mergeCell ref="I7:L7"/>
    <mergeCell ref="B2:O2"/>
    <mergeCell ref="E4:G4"/>
    <mergeCell ref="I4:L4"/>
    <mergeCell ref="E5:F5"/>
    <mergeCell ref="I5:K5"/>
    <mergeCell ref="B38:C38"/>
    <mergeCell ref="G38:H38"/>
    <mergeCell ref="E8:F8"/>
    <mergeCell ref="E9:F9"/>
    <mergeCell ref="N13:O13"/>
    <mergeCell ref="H14:I14"/>
    <mergeCell ref="D33:E33"/>
    <mergeCell ref="G37:H37"/>
  </mergeCells>
  <dataValidations count="1">
    <dataValidation type="list" allowBlank="1" showInputMessage="1" showErrorMessage="1" sqref="C4" xr:uid="{00000000-0002-0000-0700-000000000000}">
      <formula1>$I$8:$I$9</formula1>
    </dataValidation>
  </dataValidations>
  <pageMargins left="0.75" right="0.75" top="1" bottom="1" header="0.5" footer="0.5"/>
  <pageSetup scale="8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3366FF"/>
    <pageSetUpPr fitToPage="1"/>
  </sheetPr>
  <dimension ref="A1:P39"/>
  <sheetViews>
    <sheetView topLeftCell="A4" zoomScale="90" zoomScaleNormal="90" workbookViewId="0">
      <selection activeCell="H5" sqref="H5"/>
    </sheetView>
  </sheetViews>
  <sheetFormatPr defaultRowHeight="12.75" x14ac:dyDescent="0.2"/>
  <cols>
    <col min="1" max="1" width="2.7109375" customWidth="1"/>
    <col min="2" max="2" width="21.5703125" customWidth="1"/>
    <col min="3" max="4" width="9.28515625" customWidth="1"/>
    <col min="5" max="5" width="10.140625" customWidth="1"/>
    <col min="7" max="7" width="14.85546875" customWidth="1"/>
    <col min="9" max="10" width="10" customWidth="1"/>
    <col min="11" max="11" width="9" customWidth="1"/>
    <col min="12" max="12" width="10.42578125" customWidth="1"/>
    <col min="13" max="13" width="2.7109375" customWidth="1"/>
    <col min="14" max="14" width="9.85546875" customWidth="1"/>
    <col min="15" max="15" width="7.7109375" customWidth="1"/>
    <col min="16" max="16" width="2.7109375" customWidth="1"/>
  </cols>
  <sheetData>
    <row r="1" spans="1:16" ht="13.5" thickBot="1" x14ac:dyDescent="0.25">
      <c r="A1" s="169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45"/>
    </row>
    <row r="2" spans="1:16" ht="13.5" thickBot="1" x14ac:dyDescent="0.25">
      <c r="A2" s="171"/>
      <c r="B2" s="619" t="s">
        <v>41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1"/>
      <c r="P2" s="146"/>
    </row>
    <row r="3" spans="1:16" ht="13.5" thickBot="1" x14ac:dyDescent="0.25">
      <c r="A3" s="171"/>
      <c r="B3" s="148"/>
      <c r="C3" s="148"/>
      <c r="D3" s="148"/>
      <c r="E3" s="148"/>
      <c r="F3" s="161"/>
      <c r="G3" s="148"/>
      <c r="H3" s="148"/>
      <c r="I3" s="175"/>
      <c r="J3" s="175"/>
      <c r="K3" s="175"/>
      <c r="L3" s="148"/>
      <c r="M3" s="148"/>
      <c r="N3" s="148"/>
      <c r="O3" s="148"/>
      <c r="P3" s="146"/>
    </row>
    <row r="4" spans="1:16" ht="13.5" thickBot="1" x14ac:dyDescent="0.25">
      <c r="A4" s="171"/>
      <c r="B4" s="4" t="s">
        <v>33</v>
      </c>
      <c r="C4" s="63" t="s">
        <v>29</v>
      </c>
      <c r="D4" s="148"/>
      <c r="E4" s="657" t="s">
        <v>46</v>
      </c>
      <c r="F4" s="659"/>
      <c r="G4" s="658"/>
      <c r="H4" s="149"/>
      <c r="I4" s="625" t="s">
        <v>40</v>
      </c>
      <c r="J4" s="660"/>
      <c r="K4" s="626"/>
      <c r="L4" s="627"/>
      <c r="M4" s="149"/>
      <c r="N4" s="148"/>
      <c r="O4" s="150"/>
      <c r="P4" s="146"/>
    </row>
    <row r="5" spans="1:16" ht="13.5" thickBot="1" x14ac:dyDescent="0.25">
      <c r="A5" s="171"/>
      <c r="B5" s="148"/>
      <c r="C5" s="148"/>
      <c r="D5" s="148"/>
      <c r="E5" s="661" t="s">
        <v>47</v>
      </c>
      <c r="F5" s="662"/>
      <c r="G5" s="63">
        <v>50</v>
      </c>
      <c r="H5" s="149"/>
      <c r="I5" s="628" t="str">
        <f>"Total Fuel (gal)    ="</f>
        <v>Total Fuel (gal)    =</v>
      </c>
      <c r="J5" s="652"/>
      <c r="K5" s="629"/>
      <c r="L5" s="62"/>
      <c r="M5" s="149"/>
      <c r="N5" s="148"/>
      <c r="O5" s="150"/>
      <c r="P5" s="146"/>
    </row>
    <row r="6" spans="1:16" ht="13.5" thickBot="1" x14ac:dyDescent="0.25">
      <c r="A6" s="171"/>
      <c r="B6" s="153"/>
      <c r="C6" s="153"/>
      <c r="D6" s="148"/>
      <c r="E6" s="148"/>
      <c r="F6" s="161"/>
      <c r="G6" s="161"/>
      <c r="H6" s="148"/>
      <c r="I6" s="153"/>
      <c r="J6" s="153"/>
      <c r="K6" s="153"/>
      <c r="L6" s="153"/>
      <c r="M6" s="148"/>
      <c r="N6" s="148"/>
      <c r="O6" s="148"/>
      <c r="P6" s="146"/>
    </row>
    <row r="7" spans="1:16" ht="13.5" thickBot="1" x14ac:dyDescent="0.25">
      <c r="A7" s="171"/>
      <c r="B7" s="116" t="s">
        <v>84</v>
      </c>
      <c r="C7" s="110">
        <v>200</v>
      </c>
      <c r="D7" s="148"/>
      <c r="E7" s="616" t="s">
        <v>22</v>
      </c>
      <c r="F7" s="617"/>
      <c r="G7" s="618"/>
      <c r="H7" s="148"/>
      <c r="I7" s="657" t="s">
        <v>19</v>
      </c>
      <c r="J7" s="659"/>
      <c r="K7" s="659"/>
      <c r="L7" s="658"/>
      <c r="M7" s="148"/>
      <c r="N7" s="153"/>
      <c r="O7" s="153"/>
      <c r="P7" s="146"/>
    </row>
    <row r="8" spans="1:16" ht="13.5" thickBot="1" x14ac:dyDescent="0.25">
      <c r="A8" s="171"/>
      <c r="B8" s="364" t="s">
        <v>83</v>
      </c>
      <c r="C8" s="65">
        <v>185</v>
      </c>
      <c r="D8" s="148"/>
      <c r="E8" s="653" t="str">
        <f>"Total Fuel (gal)       ="</f>
        <v>Total Fuel (gal)       =</v>
      </c>
      <c r="F8" s="654"/>
      <c r="G8" s="64">
        <v>18</v>
      </c>
      <c r="H8" s="148"/>
      <c r="I8" s="320" t="s">
        <v>29</v>
      </c>
      <c r="J8" s="314">
        <v>88.26</v>
      </c>
      <c r="K8" s="314">
        <v>1826</v>
      </c>
      <c r="L8" s="564">
        <v>160885.21</v>
      </c>
      <c r="M8" s="148"/>
      <c r="N8" s="153"/>
      <c r="O8" s="153"/>
      <c r="P8" s="217"/>
    </row>
    <row r="9" spans="1:16" ht="13.5" thickBot="1" x14ac:dyDescent="0.25">
      <c r="A9" s="171"/>
      <c r="B9" s="366" t="s">
        <v>85</v>
      </c>
      <c r="C9" s="114">
        <v>10</v>
      </c>
      <c r="D9" s="148"/>
      <c r="E9" s="655" t="s">
        <v>27</v>
      </c>
      <c r="F9" s="656"/>
      <c r="G9" s="66">
        <v>2</v>
      </c>
      <c r="H9" s="148"/>
      <c r="I9" s="83"/>
      <c r="J9" s="80"/>
      <c r="K9" s="80"/>
      <c r="L9" s="81"/>
      <c r="M9" s="151"/>
      <c r="N9" s="152"/>
      <c r="O9" s="152"/>
      <c r="P9" s="191"/>
    </row>
    <row r="10" spans="1:16" ht="13.5" thickBot="1" x14ac:dyDescent="0.25">
      <c r="A10" s="171"/>
      <c r="B10" s="74" t="s">
        <v>86</v>
      </c>
      <c r="C10" s="65">
        <v>0</v>
      </c>
      <c r="D10" s="148"/>
      <c r="E10" s="361"/>
      <c r="F10" s="361"/>
      <c r="G10" s="161"/>
      <c r="H10" s="148"/>
      <c r="I10" s="362"/>
      <c r="J10" s="363"/>
      <c r="K10" s="156"/>
      <c r="L10" s="157"/>
      <c r="M10" s="151"/>
      <c r="N10" s="152"/>
      <c r="O10" s="152"/>
      <c r="P10" s="191"/>
    </row>
    <row r="11" spans="1:16" ht="13.5" thickBot="1" x14ac:dyDescent="0.25">
      <c r="A11" s="171"/>
      <c r="B11" s="365" t="s">
        <v>13</v>
      </c>
      <c r="C11" s="62">
        <v>65</v>
      </c>
      <c r="D11" s="148"/>
      <c r="E11" s="361"/>
      <c r="F11" s="361"/>
      <c r="G11" s="161"/>
      <c r="H11" s="148"/>
      <c r="I11" s="362"/>
      <c r="J11" s="363"/>
      <c r="K11" s="156"/>
      <c r="L11" s="257"/>
      <c r="M11" s="152"/>
      <c r="N11" s="152"/>
      <c r="O11" s="152"/>
      <c r="P11" s="147"/>
    </row>
    <row r="12" spans="1:16" x14ac:dyDescent="0.2">
      <c r="A12" s="171"/>
      <c r="B12" s="148"/>
      <c r="C12" s="161"/>
      <c r="D12" s="148"/>
      <c r="E12" s="361"/>
      <c r="F12" s="361"/>
      <c r="G12" s="161"/>
      <c r="H12" s="148"/>
      <c r="I12" s="362"/>
      <c r="J12" s="363"/>
      <c r="K12" s="156"/>
      <c r="L12" s="257"/>
      <c r="M12" s="152"/>
      <c r="N12" s="152"/>
      <c r="O12" s="152"/>
      <c r="P12" s="147"/>
    </row>
    <row r="13" spans="1:16" ht="13.5" thickBot="1" x14ac:dyDescent="0.25">
      <c r="A13" s="171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52"/>
      <c r="M13" s="152"/>
      <c r="N13" s="643"/>
      <c r="O13" s="643"/>
      <c r="P13" s="509"/>
    </row>
    <row r="14" spans="1:16" ht="13.5" thickBot="1" x14ac:dyDescent="0.25">
      <c r="A14" s="171"/>
      <c r="B14" s="218"/>
      <c r="C14" s="148"/>
      <c r="D14" s="148"/>
      <c r="E14" s="148"/>
      <c r="F14" s="148"/>
      <c r="G14" s="160"/>
      <c r="H14" s="657" t="s">
        <v>124</v>
      </c>
      <c r="I14" s="658"/>
      <c r="J14" s="160"/>
      <c r="K14" s="160"/>
      <c r="L14" s="196"/>
      <c r="M14" s="196"/>
      <c r="N14" s="168"/>
      <c r="O14" s="168"/>
      <c r="P14" s="509"/>
    </row>
    <row r="15" spans="1:16" x14ac:dyDescent="0.2">
      <c r="A15" s="171"/>
      <c r="B15" s="90" t="s">
        <v>2</v>
      </c>
      <c r="C15" s="91" t="s">
        <v>0</v>
      </c>
      <c r="D15" s="91" t="s">
        <v>3</v>
      </c>
      <c r="E15" s="92" t="s">
        <v>1</v>
      </c>
      <c r="F15" s="148"/>
      <c r="G15" s="148"/>
      <c r="H15" s="148"/>
      <c r="I15" s="148"/>
      <c r="J15" s="148"/>
      <c r="K15" s="148"/>
      <c r="L15" s="196"/>
      <c r="M15" s="196"/>
      <c r="N15" s="192">
        <f>IF(C4=I8,93,91.5)</f>
        <v>93</v>
      </c>
      <c r="O15" s="192">
        <f>C18</f>
        <v>1826</v>
      </c>
      <c r="P15" s="557"/>
    </row>
    <row r="16" spans="1:16" x14ac:dyDescent="0.2">
      <c r="A16" s="171"/>
      <c r="B16" s="30" t="str">
        <f>C4</f>
        <v>8395Y</v>
      </c>
      <c r="C16" s="7"/>
      <c r="D16" s="26"/>
      <c r="E16" s="5"/>
      <c r="F16" s="148"/>
      <c r="G16" s="148"/>
      <c r="H16" s="148"/>
      <c r="I16" s="148"/>
      <c r="J16" s="148"/>
      <c r="K16" s="148"/>
      <c r="L16" s="196"/>
      <c r="M16" s="196"/>
      <c r="N16" s="193">
        <f>IF(C4=I8,85.5,82)</f>
        <v>85.5</v>
      </c>
      <c r="O16" s="193">
        <f>C18</f>
        <v>1826</v>
      </c>
      <c r="P16" s="557"/>
    </row>
    <row r="17" spans="1:16" x14ac:dyDescent="0.2">
      <c r="A17" s="171"/>
      <c r="B17" s="1"/>
      <c r="C17" s="9"/>
      <c r="D17" s="27"/>
      <c r="E17" s="6"/>
      <c r="F17" s="148"/>
      <c r="G17" s="148"/>
      <c r="H17" s="148"/>
      <c r="I17" s="148"/>
      <c r="J17" s="148"/>
      <c r="K17" s="148"/>
      <c r="L17" s="196"/>
      <c r="M17" s="196"/>
      <c r="N17" s="193">
        <f>IF(C4=I8,85.5,82)</f>
        <v>85.5</v>
      </c>
      <c r="O17" s="193">
        <f>IF(C4=I8,2400,2375)</f>
        <v>2400</v>
      </c>
      <c r="P17" s="558"/>
    </row>
    <row r="18" spans="1:16" x14ac:dyDescent="0.2">
      <c r="A18" s="171"/>
      <c r="B18" s="1" t="s">
        <v>31</v>
      </c>
      <c r="C18" s="37">
        <f>IF(I8=C4,K8,K9)</f>
        <v>1826</v>
      </c>
      <c r="D18" s="28">
        <f>IF(C18=0,0,(E18/C18))</f>
        <v>88.108001095290248</v>
      </c>
      <c r="E18" s="17">
        <f>IF(I8=C4,L8,L9)</f>
        <v>160885.21</v>
      </c>
      <c r="F18" s="149"/>
      <c r="G18" s="148"/>
      <c r="H18" s="148"/>
      <c r="I18" s="148"/>
      <c r="J18" s="148"/>
      <c r="K18" s="148"/>
      <c r="L18" s="196"/>
      <c r="M18" s="196"/>
      <c r="N18" s="193">
        <f>IF(C4=I8,90,89)</f>
        <v>90</v>
      </c>
      <c r="O18" s="193">
        <f>IF(C4=I8,2750,2750)</f>
        <v>2750</v>
      </c>
      <c r="P18" s="558"/>
    </row>
    <row r="19" spans="1:16" x14ac:dyDescent="0.2">
      <c r="A19" s="171"/>
      <c r="B19" s="73" t="s">
        <v>81</v>
      </c>
      <c r="C19" s="20">
        <f>IF(B16="",0,C7+C8)</f>
        <v>385</v>
      </c>
      <c r="D19" s="28">
        <v>80.5</v>
      </c>
      <c r="E19" s="17">
        <f>IF(C19=0,0,C19*D19)</f>
        <v>30992.5</v>
      </c>
      <c r="F19" s="149"/>
      <c r="G19" s="148"/>
      <c r="H19" s="148"/>
      <c r="I19" s="148"/>
      <c r="J19" s="148"/>
      <c r="K19" s="148"/>
      <c r="L19" s="196"/>
      <c r="M19" s="196"/>
      <c r="N19" s="193">
        <f>IF(C4=I8,93,91.5)</f>
        <v>93</v>
      </c>
      <c r="O19" s="193">
        <v>2750</v>
      </c>
      <c r="P19" s="558"/>
    </row>
    <row r="20" spans="1:16" x14ac:dyDescent="0.2">
      <c r="A20" s="171"/>
      <c r="B20" s="73" t="s">
        <v>82</v>
      </c>
      <c r="C20" s="20">
        <f>IF(B16="",0,C9+C10)</f>
        <v>10</v>
      </c>
      <c r="D20" s="28">
        <v>118.1</v>
      </c>
      <c r="E20" s="17">
        <f>IF(C20=0,0,C20*D20)</f>
        <v>1181</v>
      </c>
      <c r="F20" s="149"/>
      <c r="G20" s="148"/>
      <c r="H20" s="148"/>
      <c r="I20" s="148"/>
      <c r="J20" s="148"/>
      <c r="K20" s="148"/>
      <c r="L20" s="196"/>
      <c r="M20" s="196"/>
      <c r="N20" s="193">
        <f>IF(C4=I8,93,91.5)</f>
        <v>93</v>
      </c>
      <c r="O20" s="193">
        <f>C18</f>
        <v>1826</v>
      </c>
      <c r="P20" s="558"/>
    </row>
    <row r="21" spans="1:16" x14ac:dyDescent="0.2">
      <c r="A21" s="171"/>
      <c r="B21" s="10" t="s">
        <v>13</v>
      </c>
      <c r="C21" s="20">
        <f>IF(B16="",0,C11)</f>
        <v>65</v>
      </c>
      <c r="D21" s="28">
        <v>142.80000000000001</v>
      </c>
      <c r="E21" s="17">
        <f>IF(C21=0,0,C21*D21)</f>
        <v>9282</v>
      </c>
      <c r="F21" s="149"/>
      <c r="G21" s="148"/>
      <c r="H21" s="148"/>
      <c r="I21" s="148"/>
      <c r="J21" s="148"/>
      <c r="K21" s="148"/>
      <c r="L21" s="196"/>
      <c r="M21" s="196"/>
      <c r="N21" s="168"/>
      <c r="O21" s="168"/>
      <c r="P21" s="558"/>
    </row>
    <row r="22" spans="1:16" x14ac:dyDescent="0.2">
      <c r="A22" s="171"/>
      <c r="B22" s="93" t="s">
        <v>16</v>
      </c>
      <c r="C22" s="94">
        <f>IF(B16=0,0,SUM(C18:C21))</f>
        <v>2286</v>
      </c>
      <c r="D22" s="95">
        <f>E22/C22</f>
        <v>88.512996500437438</v>
      </c>
      <c r="E22" s="96">
        <f>IF(B16="",0,SUM(E18:E21))</f>
        <v>202340.71</v>
      </c>
      <c r="F22" s="149"/>
      <c r="G22" s="148"/>
      <c r="H22" s="148"/>
      <c r="I22" s="148"/>
      <c r="J22" s="148"/>
      <c r="K22" s="148"/>
      <c r="L22" s="196"/>
      <c r="M22" s="196"/>
      <c r="N22" s="168"/>
      <c r="O22" s="168"/>
      <c r="P22" s="559"/>
    </row>
    <row r="23" spans="1:16" x14ac:dyDescent="0.2">
      <c r="A23" s="171"/>
      <c r="B23" s="1" t="s">
        <v>32</v>
      </c>
      <c r="C23" s="19">
        <f>IF(C18=0,0,IF(L5="",G5*6,L5*6))</f>
        <v>300</v>
      </c>
      <c r="D23" s="29">
        <f>IF(B16="",0,95)</f>
        <v>95</v>
      </c>
      <c r="E23" s="17">
        <f>IF(C23=0,0,C23*D23)</f>
        <v>28500</v>
      </c>
      <c r="F23" s="149"/>
      <c r="G23" s="148"/>
      <c r="H23" s="148"/>
      <c r="I23" s="148"/>
      <c r="J23" s="148"/>
      <c r="K23" s="148"/>
      <c r="L23" s="196"/>
      <c r="M23" s="196"/>
      <c r="N23" s="168"/>
      <c r="O23" s="168"/>
      <c r="P23" s="559"/>
    </row>
    <row r="24" spans="1:16" x14ac:dyDescent="0.2">
      <c r="A24" s="171"/>
      <c r="B24" s="1"/>
      <c r="C24" s="69"/>
      <c r="D24" s="22"/>
      <c r="E24" s="23"/>
      <c r="F24" s="149"/>
      <c r="G24" s="148"/>
      <c r="H24" s="148"/>
      <c r="I24" s="148"/>
      <c r="J24" s="148"/>
      <c r="K24" s="148"/>
      <c r="L24" s="196"/>
      <c r="M24" s="196"/>
      <c r="N24" s="220"/>
      <c r="O24" s="220"/>
      <c r="P24" s="559"/>
    </row>
    <row r="25" spans="1:16" x14ac:dyDescent="0.2">
      <c r="A25" s="171"/>
      <c r="B25" s="10" t="s">
        <v>28</v>
      </c>
      <c r="C25" s="58">
        <f>IF(B16="",0,G9*6)*-1</f>
        <v>-12</v>
      </c>
      <c r="D25" s="29">
        <f>IF(B16="",0,95)</f>
        <v>95</v>
      </c>
      <c r="E25" s="17">
        <f>IF(C25=0,0,C25*D25)</f>
        <v>-1140</v>
      </c>
      <c r="F25" s="149"/>
      <c r="G25" s="148"/>
      <c r="H25" s="148"/>
      <c r="I25" s="148"/>
      <c r="J25" s="148"/>
      <c r="K25" s="148"/>
      <c r="L25" s="196"/>
      <c r="M25" s="201" t="s">
        <v>111</v>
      </c>
      <c r="N25" s="193">
        <f>D26</f>
        <v>89.238815073815076</v>
      </c>
      <c r="O25" s="193">
        <f>C26</f>
        <v>2574</v>
      </c>
      <c r="P25" s="559"/>
    </row>
    <row r="26" spans="1:16" x14ac:dyDescent="0.2">
      <c r="A26" s="171"/>
      <c r="B26" s="93" t="s">
        <v>4</v>
      </c>
      <c r="C26" s="103">
        <f>IF(B16="","",(C22+C23+C25))</f>
        <v>2574</v>
      </c>
      <c r="D26" s="95">
        <f>IF(C26=0,0,E26/C26)</f>
        <v>89.238815073815076</v>
      </c>
      <c r="E26" s="96">
        <f>IF(B16="",0,SUM(E22:E25))</f>
        <v>229700.71</v>
      </c>
      <c r="F26" s="149"/>
      <c r="G26" s="148"/>
      <c r="H26" s="148"/>
      <c r="I26" s="148"/>
      <c r="J26" s="148"/>
      <c r="K26" s="148"/>
      <c r="L26" s="196"/>
      <c r="M26" s="201" t="s">
        <v>110</v>
      </c>
      <c r="N26" s="193">
        <f>D30</f>
        <v>88.986500405515002</v>
      </c>
      <c r="O26" s="193">
        <f>C30</f>
        <v>2466</v>
      </c>
      <c r="P26" s="559"/>
    </row>
    <row r="27" spans="1:16" x14ac:dyDescent="0.2">
      <c r="A27" s="171"/>
      <c r="B27" s="35" t="s">
        <v>34</v>
      </c>
      <c r="C27" s="34"/>
      <c r="D27" s="32">
        <f>(E26+E27)/C26</f>
        <v>89.556996891996889</v>
      </c>
      <c r="E27" s="33">
        <v>819</v>
      </c>
      <c r="F27" s="149"/>
      <c r="G27" s="148"/>
      <c r="H27" s="148"/>
      <c r="I27" s="148"/>
      <c r="J27" s="148"/>
      <c r="K27" s="148"/>
      <c r="L27" s="196"/>
      <c r="M27" s="201" t="s">
        <v>109</v>
      </c>
      <c r="N27" s="193">
        <f>D22</f>
        <v>88.512996500437438</v>
      </c>
      <c r="O27" s="193">
        <f>C22</f>
        <v>2286</v>
      </c>
      <c r="P27" s="559"/>
    </row>
    <row r="28" spans="1:16" x14ac:dyDescent="0.2">
      <c r="A28" s="171"/>
      <c r="B28" s="1"/>
      <c r="C28" s="21"/>
      <c r="D28" s="29"/>
      <c r="E28" s="23"/>
      <c r="F28" s="149"/>
      <c r="G28" s="148"/>
      <c r="H28" s="148"/>
      <c r="I28" s="148"/>
      <c r="J28" s="148"/>
      <c r="K28" s="148"/>
      <c r="L28" s="196"/>
      <c r="M28" s="196"/>
      <c r="N28" s="220"/>
      <c r="O28" s="221"/>
      <c r="P28" s="559"/>
    </row>
    <row r="29" spans="1:16" x14ac:dyDescent="0.2">
      <c r="A29" s="171"/>
      <c r="B29" s="10" t="s">
        <v>14</v>
      </c>
      <c r="C29" s="21">
        <f>IF(B16="",0,(G8*6))*-1</f>
        <v>-108</v>
      </c>
      <c r="D29" s="29">
        <f>IF(B16="",0,95)</f>
        <v>95</v>
      </c>
      <c r="E29" s="17">
        <f>IF(C29=0,0,C29*D29)</f>
        <v>-10260</v>
      </c>
      <c r="F29" s="149"/>
      <c r="G29" s="148"/>
      <c r="H29" s="148"/>
      <c r="I29" s="148"/>
      <c r="J29" s="148"/>
      <c r="K29" s="148"/>
      <c r="L29" s="196"/>
      <c r="M29" s="196"/>
      <c r="N29" s="193">
        <f>D18</f>
        <v>88.108001095290248</v>
      </c>
      <c r="O29" s="193">
        <f>C18</f>
        <v>1826</v>
      </c>
      <c r="P29" s="559"/>
    </row>
    <row r="30" spans="1:16" ht="13.5" thickBot="1" x14ac:dyDescent="0.25">
      <c r="A30" s="171"/>
      <c r="B30" s="93" t="s">
        <v>5</v>
      </c>
      <c r="C30" s="94">
        <f>IF(B16="",0,C26+C29)</f>
        <v>2466</v>
      </c>
      <c r="D30" s="95">
        <f>IF(C30=0,0,E30/C30)</f>
        <v>88.986500405515002</v>
      </c>
      <c r="E30" s="96">
        <f>IF(B16="",0,E26+E29)</f>
        <v>219440.71</v>
      </c>
      <c r="F30" s="149"/>
      <c r="G30" s="148"/>
      <c r="H30" s="148"/>
      <c r="I30" s="148"/>
      <c r="J30" s="148"/>
      <c r="K30" s="148"/>
      <c r="L30" s="196"/>
      <c r="M30" s="196"/>
      <c r="N30" s="193"/>
      <c r="O30" s="193"/>
      <c r="P30" s="559"/>
    </row>
    <row r="31" spans="1:16" x14ac:dyDescent="0.2">
      <c r="A31" s="171"/>
      <c r="B31" s="249" t="s">
        <v>72</v>
      </c>
      <c r="C31" s="272">
        <f>IF(B16="","",O19-O15)</f>
        <v>924</v>
      </c>
      <c r="D31" s="285"/>
      <c r="E31" s="286"/>
      <c r="F31" s="149"/>
      <c r="G31" s="149"/>
      <c r="H31" s="148"/>
      <c r="I31" s="148"/>
      <c r="J31" s="148"/>
      <c r="K31" s="148"/>
      <c r="L31" s="196"/>
      <c r="M31" s="196"/>
      <c r="N31" s="193">
        <f>N25</f>
        <v>89.238815073815076</v>
      </c>
      <c r="O31" s="193">
        <f>O25</f>
        <v>2574</v>
      </c>
      <c r="P31" s="222"/>
    </row>
    <row r="32" spans="1:16" ht="13.5" thickBot="1" x14ac:dyDescent="0.25">
      <c r="A32" s="171"/>
      <c r="B32" s="273" t="s">
        <v>106</v>
      </c>
      <c r="C32" s="271">
        <f>IF(B16="","",C31-C23)</f>
        <v>624</v>
      </c>
      <c r="D32" s="284"/>
      <c r="E32" s="287"/>
      <c r="F32" s="149"/>
      <c r="G32" s="151"/>
      <c r="H32" s="172"/>
      <c r="I32" s="308" t="s">
        <v>79</v>
      </c>
      <c r="J32" s="180"/>
      <c r="K32" s="164"/>
      <c r="L32" s="196"/>
      <c r="M32" s="196"/>
      <c r="N32" s="193"/>
      <c r="O32" s="193"/>
      <c r="P32" s="222"/>
    </row>
    <row r="33" spans="1:16" ht="13.5" thickBot="1" x14ac:dyDescent="0.25">
      <c r="A33" s="171"/>
      <c r="B33" s="282" t="s">
        <v>73</v>
      </c>
      <c r="C33" s="283">
        <f>IF(C31="","",C32-(C19+C20+C21))</f>
        <v>164</v>
      </c>
      <c r="D33" s="632" t="str">
        <f>IF(C33&lt;0,"&lt;&lt;&lt;&lt;&lt;&lt;  Over Loaded! ","")</f>
        <v/>
      </c>
      <c r="E33" s="633"/>
      <c r="F33" s="149"/>
      <c r="G33" s="153"/>
      <c r="H33" s="153"/>
      <c r="I33" s="296">
        <v>25</v>
      </c>
      <c r="J33" s="153"/>
      <c r="K33" s="168"/>
      <c r="L33" s="196"/>
      <c r="M33" s="196"/>
      <c r="N33" s="168"/>
      <c r="O33" s="168"/>
      <c r="P33" s="222"/>
    </row>
    <row r="34" spans="1:16" x14ac:dyDescent="0.2">
      <c r="A34" s="171"/>
      <c r="B34" s="148"/>
      <c r="C34" s="148"/>
      <c r="D34" s="148"/>
      <c r="E34" s="148"/>
      <c r="F34" s="149"/>
      <c r="G34" s="299" t="s">
        <v>71</v>
      </c>
      <c r="H34" s="141">
        <v>270</v>
      </c>
      <c r="I34" s="295" t="s">
        <v>74</v>
      </c>
      <c r="J34" s="141"/>
      <c r="K34" s="187"/>
      <c r="L34" s="196"/>
      <c r="M34" s="196"/>
      <c r="N34" s="331"/>
      <c r="O34" s="196"/>
      <c r="P34" s="222"/>
    </row>
    <row r="35" spans="1:16" x14ac:dyDescent="0.2">
      <c r="A35" s="171"/>
      <c r="B35" s="567" t="s">
        <v>126</v>
      </c>
      <c r="C35" s="568">
        <v>121</v>
      </c>
      <c r="D35" s="151"/>
      <c r="E35" s="151"/>
      <c r="F35" s="303"/>
      <c r="G35" s="299" t="s">
        <v>70</v>
      </c>
      <c r="H35" s="141">
        <v>15</v>
      </c>
      <c r="I35" s="295" t="s">
        <v>76</v>
      </c>
      <c r="J35" s="141">
        <v>22</v>
      </c>
      <c r="K35" s="302"/>
      <c r="L35" s="521"/>
      <c r="M35" s="521"/>
      <c r="N35" s="168"/>
      <c r="O35" s="196"/>
      <c r="P35" s="222"/>
    </row>
    <row r="36" spans="1:16" x14ac:dyDescent="0.2">
      <c r="A36" s="171"/>
      <c r="B36" s="567" t="s">
        <v>128</v>
      </c>
      <c r="C36" s="569">
        <f>C35*(SQRT(C26/O18))</f>
        <v>117.06398250529494</v>
      </c>
      <c r="D36" s="151"/>
      <c r="E36" s="151"/>
      <c r="F36" s="242"/>
      <c r="G36" s="135"/>
      <c r="H36" s="153"/>
      <c r="I36" s="153"/>
      <c r="J36" s="153"/>
      <c r="K36" s="153"/>
      <c r="L36" s="521"/>
      <c r="M36" s="521"/>
      <c r="N36" s="193">
        <v>432</v>
      </c>
      <c r="O36" s="196"/>
      <c r="P36" s="222"/>
    </row>
    <row r="37" spans="1:16" x14ac:dyDescent="0.2">
      <c r="A37" s="171"/>
      <c r="B37" s="567" t="s">
        <v>127</v>
      </c>
      <c r="C37" s="569">
        <f>C35*(SQRT(C30/O18))</f>
        <v>114.58177865611965</v>
      </c>
      <c r="D37" s="151"/>
      <c r="E37" s="151"/>
      <c r="F37" s="242"/>
      <c r="G37" s="613" t="s">
        <v>78</v>
      </c>
      <c r="H37" s="614"/>
      <c r="I37" s="194">
        <f>IF(H35="","",H35*ABS(SIN(RADIANS(H34-(I33*10)))))</f>
        <v>5.130302149885031</v>
      </c>
      <c r="J37" s="137" t="s">
        <v>75</v>
      </c>
      <c r="K37" s="194">
        <f>IF(J35="","",J35*ABS(SIN(RADIANS(H34-(I33*10)))))</f>
        <v>7.5244431531647118</v>
      </c>
      <c r="L37" s="529"/>
      <c r="M37" s="527"/>
      <c r="N37" s="220">
        <v>95</v>
      </c>
      <c r="O37" s="196"/>
      <c r="P37" s="222"/>
    </row>
    <row r="38" spans="1:16" x14ac:dyDescent="0.2">
      <c r="A38" s="171"/>
      <c r="B38" s="151"/>
      <c r="C38" s="151"/>
      <c r="D38" s="151"/>
      <c r="E38" s="151"/>
      <c r="F38" s="139"/>
      <c r="G38" s="613" t="s">
        <v>77</v>
      </c>
      <c r="H38" s="614"/>
      <c r="I38" s="194" t="str">
        <f>IF(J34="","",H35*ABS(SIN(RADIANS(H34-(I33*10)))))</f>
        <v/>
      </c>
      <c r="J38" s="195" t="s">
        <v>75</v>
      </c>
      <c r="K38" s="194" t="str">
        <f>IF(J34="","",IF(J35="",H35*ABS(SIN(RADIANS(J34-(I33*10)))),J35*ABS(SIN(RADIANS(J34-(I33*10))))))</f>
        <v/>
      </c>
      <c r="L38" s="530"/>
      <c r="M38" s="528"/>
      <c r="N38" s="193">
        <f>IF(N36=0,0,N36*N37)</f>
        <v>41040</v>
      </c>
      <c r="O38" s="168"/>
      <c r="P38" s="222"/>
    </row>
    <row r="39" spans="1:16" ht="13.5" thickBot="1" x14ac:dyDescent="0.25">
      <c r="A39" s="181"/>
      <c r="B39" s="184"/>
      <c r="C39" s="184"/>
      <c r="D39" s="184"/>
      <c r="E39" s="184"/>
      <c r="F39" s="184"/>
      <c r="G39" s="216"/>
      <c r="H39" s="184"/>
      <c r="I39" s="184"/>
      <c r="J39" s="184"/>
      <c r="K39" s="184"/>
      <c r="L39" s="501"/>
      <c r="M39" s="501"/>
      <c r="N39" s="501"/>
      <c r="O39" s="501"/>
      <c r="P39" s="502"/>
    </row>
  </sheetData>
  <mergeCells count="14">
    <mergeCell ref="D33:E33"/>
    <mergeCell ref="G37:H37"/>
    <mergeCell ref="G38:H38"/>
    <mergeCell ref="B2:O2"/>
    <mergeCell ref="N13:O13"/>
    <mergeCell ref="H14:I14"/>
    <mergeCell ref="E4:G4"/>
    <mergeCell ref="I7:L7"/>
    <mergeCell ref="E7:G7"/>
    <mergeCell ref="I4:L4"/>
    <mergeCell ref="I5:K5"/>
    <mergeCell ref="E5:F5"/>
    <mergeCell ref="E8:F8"/>
    <mergeCell ref="E9:F9"/>
  </mergeCells>
  <phoneticPr fontId="5" type="noConversion"/>
  <dataValidations disablePrompts="1" count="1">
    <dataValidation type="list" allowBlank="1" showInputMessage="1" showErrorMessage="1" sqref="C4" xr:uid="{00000000-0002-0000-0800-000000000000}">
      <formula1>$I$8:$I$9</formula1>
    </dataValidation>
  </dataValidations>
  <pageMargins left="0.75" right="0.75" top="1" bottom="1" header="0.5" footer="0.5"/>
  <pageSetup scale="8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Z V Q t V Y v I e J u j A A A A 9 g A A A B I A H A B D b 2 5 m a W c v U G F j a 2 F n Z S 5 4 b W w g o h g A K K A U A A A A A A A A A A A A A A A A A A A A A A A A A A A A h Y + x D o I w G I R f h X S n L X U x 5 K c O r p K Y E I 1 r U y o 0 w o + h x f J u D j 6 S r y B G U T f H u / s u u b t f b 7 A a 2 y a 6 m N 7 Z D j O S U E 4 i g 7 o r L V Y Z G f w x X p K V h K 3 S J 1 W Z a I L R p a O z G a m 9 P 6 e M h R B o W N C u r 5 j g P G G H f F P o 2 r Q q t u i 8 Q m 3 I p 1 X + b x E J + 9 c Y K W j C B R V 8 2 g R s N i G 3 + A X E l D 3 T H x P W Q + O H 3 k i D 8 a 4 A N k t g 7 w / y A V B L A w Q U A A I A C A B l V C 1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V Q t V S i K R 7 g O A A A A E Q A A A B M A H A B G b 3 J t d W x h c y 9 T Z W N 0 a W 9 u M S 5 t I K I Y A C i g F A A A A A A A A A A A A A A A A A A A A A A A A A A A A C t O T S 7 J z M 9 T C I b Q h t Y A U E s B A i 0 A F A A C A A g A Z V Q t V Y v I e J u j A A A A 9 g A A A B I A A A A A A A A A A A A A A A A A A A A A A E N v b m Z p Z y 9 Q Y W N r Y W d l L n h t b F B L A Q I t A B Q A A g A I A G V U L V U P y u m r p A A A A O k A A A A T A A A A A A A A A A A A A A A A A O 8 A A A B b Q 2 9 u d G V u d F 9 U e X B l c 1 0 u e G 1 s U E s B A i 0 A F A A C A A g A Z V Q t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J 6 t b n + t D v Z D s 5 7 H x s P + D f o A A A A A A g A A A A A A E G Y A A A A B A A A g A A A A N d + D 1 C w u n B Z R m S W U O m n v a A / i J K k F I c V W 8 d u U V q Q 6 W 4 g A A A A A D o A A A A A C A A A g A A A A i U o f e L P d O q 1 N m 4 W m h e D 9 Z j v Z 7 a X W M c O B w H 2 4 p I K A k P 1 Q A A A A G y j Z H B 3 O E 6 W w N e r h x Q I i x H S m 9 j 5 Q o l G d I K p / X o U U V E 2 Q D R f B A d X z + 8 j g d T T t N Z J I 4 5 1 M U 4 w 4 6 z c g 2 8 5 6 q f U q x H n 5 H y N E d z r 0 3 A 7 y W O A + b c Z A A A A A 9 M v Y A T s 8 N o R O T t j o m 4 B z D h i h b i Y I 5 p E 9 Q q c 9 p e s R h e Y s L 6 O z t u d g r E w x b u O 9 c 6 X u i 5 Q l t h S p M h A x F F 3 E / W 7 L J w = = < / D a t a M a s h u p > 
</file>

<file path=customXml/itemProps1.xml><?xml version="1.0" encoding="utf-8"?>
<ds:datastoreItem xmlns:ds="http://schemas.openxmlformats.org/officeDocument/2006/customXml" ds:itemID="{04782B2C-3331-4B22-9954-46F0159E823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C-152</vt:lpstr>
      <vt:lpstr>C-172</vt:lpstr>
      <vt:lpstr>C-182</vt:lpstr>
      <vt:lpstr>8KCAB</vt:lpstr>
      <vt:lpstr>PA28-151 &amp; Older PA-28-161</vt:lpstr>
      <vt:lpstr>Newer PA28-161</vt:lpstr>
      <vt:lpstr>PA28-181</vt:lpstr>
      <vt:lpstr>Arrow III</vt:lpstr>
      <vt:lpstr>Arrow IV</vt:lpstr>
      <vt:lpstr>Seneca</vt:lpstr>
      <vt:lpstr>SR22 G1&amp;2</vt:lpstr>
      <vt:lpstr>SR22 G3</vt:lpstr>
      <vt:lpstr>C207T</vt:lpstr>
      <vt:lpstr>Aztec</vt:lpstr>
      <vt:lpstr>Baron</vt:lpstr>
      <vt:lpstr>Cougar</vt:lpstr>
      <vt:lpstr>Cougar!Print_Area</vt:lpstr>
      <vt:lpstr>'SR22 G3'!Print_Area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Gibney, Michael P CTR USAF AFMC ASC/WNZI</dc:creator>
  <cp:lastModifiedBy>David</cp:lastModifiedBy>
  <cp:lastPrinted>2022-06-15T17:14:00Z</cp:lastPrinted>
  <dcterms:created xsi:type="dcterms:W3CDTF">1999-04-01T12:59:57Z</dcterms:created>
  <dcterms:modified xsi:type="dcterms:W3CDTF">2022-09-13T14:56:42Z</dcterms:modified>
</cp:coreProperties>
</file>